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comments4.xml" ContentType="application/vnd.openxmlformats-officedocument.spreadsheetml.comments+xml"/>
  <Override PartName="/xl/threadedComments/threadedComment2.xml" ContentType="application/vnd.ms-excel.threadedcomments+xml"/>
  <Override PartName="/xl/comments5.xml" ContentType="application/vnd.openxmlformats-officedocument.spreadsheetml.comments+xml"/>
  <Override PartName="/xl/threadedComments/threadedComment3.xml" ContentType="application/vnd.ms-excel.threadedcomments+xml"/>
  <Override PartName="/xl/comments6.xml" ContentType="application/vnd.openxmlformats-officedocument.spreadsheetml.comments+xml"/>
  <Override PartName="/xl/threadedComments/threadedComment4.xml" ContentType="application/vnd.ms-excel.threadedcomments+xml"/>
  <Override PartName="/xl/comments7.xml" ContentType="application/vnd.openxmlformats-officedocument.spreadsheetml.comments+xml"/>
  <Override PartName="/xl/threadedComments/threadedComment5.xml" ContentType="application/vnd.ms-excel.threadedcomments+xml"/>
  <Override PartName="/xl/comments8.xml" ContentType="application/vnd.openxmlformats-officedocument.spreadsheetml.comments+xml"/>
  <Override PartName="/xl/threadedComments/threadedComment6.xml" ContentType="application/vnd.ms-excel.threadedcomments+xml"/>
  <Override PartName="/xl/comments9.xml" ContentType="application/vnd.openxmlformats-officedocument.spreadsheetml.comments+xml"/>
  <Override PartName="/xl/threadedComments/threadedComment7.xml" ContentType="application/vnd.ms-excel.threadedcomments+xml"/>
  <Override PartName="/xl/comments10.xml" ContentType="application/vnd.openxmlformats-officedocument.spreadsheetml.comments+xml"/>
  <Override PartName="/xl/comments11.xml" ContentType="application/vnd.openxmlformats-officedocument.spreadsheetml.comments+xml"/>
  <Override PartName="/xl/threadedComments/threadedComment8.xml" ContentType="application/vnd.ms-excel.threadedcomments+xml"/>
  <Override PartName="/xl/comments12.xml" ContentType="application/vnd.openxmlformats-officedocument.spreadsheetml.comments+xml"/>
  <Override PartName="/xl/threadedComments/threadedComment9.xml" ContentType="application/vnd.ms-excel.threadedcomments+xml"/>
  <Override PartName="/xl/comments13.xml" ContentType="application/vnd.openxmlformats-officedocument.spreadsheetml.comments+xml"/>
  <Override PartName="/xl/threadedComments/threadedComment10.xml" ContentType="application/vnd.ms-excel.threadedcomments+xml"/>
  <Override PartName="/xl/comments1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NMACEK\Desktop\"/>
    </mc:Choice>
  </mc:AlternateContent>
  <xr:revisionPtr revIDLastSave="0" documentId="8_{D15C848F-2984-459F-AB62-1AC4F44E567A}" xr6:coauthVersionLast="47" xr6:coauthVersionMax="47" xr10:uidLastSave="{00000000-0000-0000-0000-000000000000}"/>
  <bookViews>
    <workbookView xWindow="-120" yWindow="-120" windowWidth="29040" windowHeight="15720" xr2:uid="{8F250EE8-CBF3-4290-AA74-E93F9BEEAE00}"/>
  </bookViews>
  <sheets>
    <sheet name="S6C-Avg" sheetId="1" r:id="rId1"/>
    <sheet name="S6C_FY2024" sheetId="16" r:id="rId2"/>
    <sheet name="S6C_FY2025" sheetId="10" r:id="rId3"/>
    <sheet name="S6C-FY2026" sheetId="4" r:id="rId4"/>
    <sheet name="Ridership-FY2026" sheetId="5" r:id="rId5"/>
    <sheet name="Revenue Hours_FY2026" sheetId="6" r:id="rId6"/>
    <sheet name="Revenue Miles_FY2026" sheetId="7" r:id="rId7"/>
    <sheet name="Sizing - Reim Expen_FY2026" sheetId="8" r:id="rId8"/>
    <sheet name="Op Cost_FY2026" sheetId="9" r:id="rId9"/>
    <sheet name="Ridership_FY2025" sheetId="11" r:id="rId10"/>
    <sheet name="Revenue Hours_FY2025" sheetId="12" r:id="rId11"/>
    <sheet name="Revenue Miles_FY2025" sheetId="13" r:id="rId12"/>
    <sheet name="Sizing - Reim Expen_FY2025" sheetId="14" r:id="rId13"/>
    <sheet name="Op Cost_FY2025" sheetId="15" r:id="rId14"/>
    <sheet name="Ridership_FY2024" sheetId="17" r:id="rId15"/>
    <sheet name="Revenue Hours_FY2024" sheetId="18" r:id="rId16"/>
    <sheet name="Revenue Miles_FY2024" sheetId="19" r:id="rId17"/>
    <sheet name="Sizing - Reim Exp_FY2024" sheetId="20" r:id="rId18"/>
    <sheet name="Op Cost_FY2024" sheetId="21" r:id="rId19"/>
  </sheets>
  <definedNames>
    <definedName name="_1__123Graph_ACHART_37" hidden="1">#REF!</definedName>
    <definedName name="_2__123Graph_BCHART_37" hidden="1">#REF!</definedName>
    <definedName name="_3__123Graph_CCHART_37"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1" hidden="1">S6C_FY2024!$A$8:$BY$8</definedName>
    <definedName name="_xlnm._FilterDatabase" localSheetId="2" hidden="1">S6C_FY2025!$A$8:$BZ$8</definedName>
    <definedName name="_xlnm._FilterDatabase" localSheetId="3" hidden="1">'S6C-FY2026'!$A$11:$BZ$11</definedName>
    <definedName name="_Order1" hidden="1">0</definedName>
    <definedName name="_Order2" hidden="1">255</definedName>
    <definedName name="Demonstration_Program_Approved">#REF!</definedName>
    <definedName name="Districts_Summary">#REF!</definedName>
    <definedName name="Interns_Approved">#REF!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LAND" hidden="1">"c645"</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Z_SCORE" hidden="1">"c1339"</definedName>
    <definedName name="Large_Urban_Capital">#REF!</definedName>
    <definedName name="Nonurban_Capital">#REF!</definedName>
    <definedName name="Pal_Workbook_GUID" hidden="1">"PV8GPTPHTGTVXMW4LKC2SKTR"</definedName>
    <definedName name="Richmond">#REF!</definedName>
    <definedName name="Richmond_Main_Street_Station">#REF!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lem">#REF!</definedName>
    <definedName name="Small_Urban_Capital">#REF!</definedName>
    <definedName name="SpProjFundBal">#REF!</definedName>
    <definedName name="State_TDM_RS_Approved">#REF!</definedName>
    <definedName name="State_TDM_RS_Grants">#REF!</definedName>
    <definedName name="StateFundSources">#REF!</definedName>
    <definedName name="StateFundSrcs">#REF!</definedName>
    <definedName name="Staunton">#REF!</definedName>
    <definedName name="Tech_Assist_Approved">#REF!</definedName>
    <definedName name="TEIF_Approved">#REF!</definedName>
    <definedName name="TRIP2">#REF!</definedName>
    <definedName name="x">#REF!</definedName>
    <definedName name="Z_94D8ABD2_F813_4BD2_AD55_22BDD5D9923A_.wvu.Cols" localSheetId="1" hidden="1">S6C_FY2024!$X:$AK</definedName>
    <definedName name="Z_94D8ABD2_F813_4BD2_AD55_22BDD5D9923A_.wvu.Cols" localSheetId="2" hidden="1">S6C_FY2025!$X:$AK</definedName>
    <definedName name="Z_94D8ABD2_F813_4BD2_AD55_22BDD5D9923A_.wvu.Cols" localSheetId="3" hidden="1">'S6C-FY2026'!$Y:$AL</definedName>
    <definedName name="Z_94D8ABD2_F813_4BD2_AD55_22BDD5D9923A_.wvu.PrintArea" localSheetId="1" hidden="1">S6C_FY2024!$A$1:$W$49</definedName>
    <definedName name="Z_94D8ABD2_F813_4BD2_AD55_22BDD5D9923A_.wvu.PrintArea" localSheetId="2" hidden="1">S6C_FY2025!$A$1:$W$49</definedName>
    <definedName name="Z_94D8ABD2_F813_4BD2_AD55_22BDD5D9923A_.wvu.PrintArea" localSheetId="3" hidden="1">'S6C-FY2026'!$A$1:$X$50</definedName>
    <definedName name="Z_B2E70C88_7433_47A3_885C_FE173A612781_.wvu.Cols" localSheetId="1" hidden="1">S6C_FY2024!$X:$AK</definedName>
    <definedName name="Z_B2E70C88_7433_47A3_885C_FE173A612781_.wvu.Cols" localSheetId="2" hidden="1">S6C_FY2025!$X:$AK</definedName>
    <definedName name="Z_B2E70C88_7433_47A3_885C_FE173A612781_.wvu.Cols" localSheetId="3" hidden="1">'S6C-FY2026'!$Y:$AL</definedName>
    <definedName name="Z_B2E70C88_7433_47A3_885C_FE173A612781_.wvu.PrintArea" localSheetId="1" hidden="1">S6C_FY2024!$A$1:$W$49</definedName>
    <definedName name="Z_B2E70C88_7433_47A3_885C_FE173A612781_.wvu.PrintArea" localSheetId="2" hidden="1">S6C_FY2025!$A$1:$W$49</definedName>
    <definedName name="Z_B2E70C88_7433_47A3_885C_FE173A612781_.wvu.PrintArea" localSheetId="3" hidden="1">'S6C-FY2026'!$A$1:$X$50</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50" i="4" l="1"/>
  <c r="BI50" i="4" s="1"/>
  <c r="BE49" i="10"/>
  <c r="BH49" i="10" s="1"/>
  <c r="O83" i="1"/>
  <c r="N83" i="1"/>
  <c r="M83" i="1"/>
  <c r="O37" i="1"/>
  <c r="N37" i="1"/>
  <c r="M37" i="1"/>
  <c r="O36" i="1"/>
  <c r="N36" i="1"/>
  <c r="M36" i="1"/>
  <c r="O35" i="1"/>
  <c r="N35" i="1"/>
  <c r="M35" i="1"/>
  <c r="O34" i="1"/>
  <c r="N34" i="1"/>
  <c r="M34" i="1"/>
  <c r="O33" i="1"/>
  <c r="N33" i="1"/>
  <c r="M33" i="1"/>
  <c r="O32" i="1"/>
  <c r="N32" i="1"/>
  <c r="M32" i="1"/>
  <c r="O31" i="1"/>
  <c r="N31" i="1"/>
  <c r="M31" i="1"/>
  <c r="O30" i="1"/>
  <c r="N30" i="1"/>
  <c r="M30" i="1"/>
  <c r="O29" i="1"/>
  <c r="N29" i="1"/>
  <c r="M29" i="1"/>
  <c r="O28" i="1"/>
  <c r="N28" i="1"/>
  <c r="M28" i="1"/>
  <c r="D43" i="21"/>
  <c r="E39" i="21"/>
  <c r="C39" i="21"/>
  <c r="B39" i="21"/>
  <c r="E34" i="21"/>
  <c r="AA40" i="16" s="1"/>
  <c r="B34" i="21"/>
  <c r="AL40" i="16" s="1"/>
  <c r="E32" i="21"/>
  <c r="BG38" i="16" s="1"/>
  <c r="BT38" i="16" s="1"/>
  <c r="B32" i="21"/>
  <c r="AE38" i="16" s="1"/>
  <c r="E16" i="21"/>
  <c r="BG22" i="16" s="1"/>
  <c r="B16" i="21"/>
  <c r="B14" i="21"/>
  <c r="E5" i="21"/>
  <c r="B5" i="21"/>
  <c r="B39" i="20"/>
  <c r="B34" i="20"/>
  <c r="B32" i="20"/>
  <c r="B43" i="20" s="1"/>
  <c r="B16" i="20"/>
  <c r="B5" i="20"/>
  <c r="D43" i="19"/>
  <c r="C39" i="19"/>
  <c r="C43" i="19" s="1"/>
  <c r="F27" i="19"/>
  <c r="E27" i="19"/>
  <c r="S33" i="16" s="1"/>
  <c r="F25" i="19"/>
  <c r="E25" i="19"/>
  <c r="F21" i="19"/>
  <c r="F43" i="19" s="1"/>
  <c r="E21" i="19"/>
  <c r="D43" i="18"/>
  <c r="C39" i="18"/>
  <c r="C43" i="18" s="1"/>
  <c r="F27" i="18"/>
  <c r="E27" i="18"/>
  <c r="F25" i="18"/>
  <c r="E25" i="18"/>
  <c r="E43" i="18" s="1"/>
  <c r="F21" i="18"/>
  <c r="F43" i="18" s="1"/>
  <c r="M49" i="16" s="1"/>
  <c r="E21" i="18"/>
  <c r="E43" i="17"/>
  <c r="D43" i="17"/>
  <c r="C43" i="17"/>
  <c r="K49" i="16" s="1"/>
  <c r="B43" i="17"/>
  <c r="J49" i="16" s="1"/>
  <c r="B39" i="17"/>
  <c r="C53" i="16"/>
  <c r="D53" i="16" s="1"/>
  <c r="E53" i="16" s="1"/>
  <c r="F53" i="16" s="1"/>
  <c r="G53" i="16" s="1"/>
  <c r="H53" i="16" s="1"/>
  <c r="I53" i="16" s="1"/>
  <c r="J53" i="16" s="1"/>
  <c r="K53" i="16" s="1"/>
  <c r="L53" i="16" s="1"/>
  <c r="M53" i="16" s="1"/>
  <c r="N53" i="16" s="1"/>
  <c r="O53" i="16" s="1"/>
  <c r="P53" i="16" s="1"/>
  <c r="Q53" i="16" s="1"/>
  <c r="R53" i="16" s="1"/>
  <c r="S53" i="16" s="1"/>
  <c r="T53" i="16" s="1"/>
  <c r="U53" i="16" s="1"/>
  <c r="V53" i="16" s="1"/>
  <c r="W53" i="16" s="1"/>
  <c r="X53" i="16" s="1"/>
  <c r="Y53" i="16" s="1"/>
  <c r="Z53" i="16" s="1"/>
  <c r="AA53" i="16" s="1"/>
  <c r="AB53" i="16" s="1"/>
  <c r="AC53" i="16" s="1"/>
  <c r="AD53" i="16" s="1"/>
  <c r="AE53" i="16" s="1"/>
  <c r="AF53" i="16" s="1"/>
  <c r="AG53" i="16" s="1"/>
  <c r="AH53" i="16" s="1"/>
  <c r="AI53" i="16" s="1"/>
  <c r="AJ53" i="16" s="1"/>
  <c r="AK53" i="16" s="1"/>
  <c r="AL53" i="16" s="1"/>
  <c r="AM53" i="16" s="1"/>
  <c r="AN53" i="16" s="1"/>
  <c r="AO53" i="16" s="1"/>
  <c r="AP53" i="16" s="1"/>
  <c r="AQ53" i="16" s="1"/>
  <c r="AR53" i="16" s="1"/>
  <c r="AS53" i="16" s="1"/>
  <c r="AT53" i="16" s="1"/>
  <c r="AU53" i="16" s="1"/>
  <c r="AV53" i="16" s="1"/>
  <c r="AW53" i="16" s="1"/>
  <c r="AX53" i="16" s="1"/>
  <c r="AY53" i="16" s="1"/>
  <c r="AZ53" i="16" s="1"/>
  <c r="BA53" i="16" s="1"/>
  <c r="BB53" i="16" s="1"/>
  <c r="BC53" i="16" s="1"/>
  <c r="BD53" i="16" s="1"/>
  <c r="BE53" i="16" s="1"/>
  <c r="BF53" i="16" s="1"/>
  <c r="BG53" i="16" s="1"/>
  <c r="BH53" i="16" s="1"/>
  <c r="BI53" i="16" s="1"/>
  <c r="BJ53" i="16" s="1"/>
  <c r="BK53" i="16" s="1"/>
  <c r="BL53" i="16" s="1"/>
  <c r="BM53" i="16" s="1"/>
  <c r="BN53" i="16" s="1"/>
  <c r="BO53" i="16" s="1"/>
  <c r="BP53" i="16" s="1"/>
  <c r="BQ53" i="16" s="1"/>
  <c r="BR53" i="16" s="1"/>
  <c r="BS53" i="16" s="1"/>
  <c r="BT53" i="16" s="1"/>
  <c r="BU53" i="16" s="1"/>
  <c r="BV53" i="16" s="1"/>
  <c r="BW53" i="16" s="1"/>
  <c r="BX53" i="16" s="1"/>
  <c r="BY53" i="16" s="1"/>
  <c r="BX49" i="16"/>
  <c r="T49" i="16"/>
  <c r="Q49" i="16"/>
  <c r="BG48" i="16"/>
  <c r="AO48" i="16"/>
  <c r="AN48" i="16"/>
  <c r="AM48" i="16"/>
  <c r="AL48" i="16"/>
  <c r="AH48" i="16"/>
  <c r="AG48" i="16"/>
  <c r="AF48" i="16"/>
  <c r="AE48" i="16"/>
  <c r="AA48" i="16"/>
  <c r="Z48" i="16"/>
  <c r="Y48" i="16"/>
  <c r="X48" i="16"/>
  <c r="T48" i="16"/>
  <c r="S48" i="16"/>
  <c r="R48" i="16"/>
  <c r="Q48" i="16"/>
  <c r="M48" i="16"/>
  <c r="L48" i="16"/>
  <c r="K48" i="16"/>
  <c r="J48" i="16"/>
  <c r="F48" i="16"/>
  <c r="E48" i="16"/>
  <c r="D48" i="16"/>
  <c r="C48" i="16"/>
  <c r="BG47" i="16"/>
  <c r="BT47" i="16" s="1"/>
  <c r="AO47" i="16"/>
  <c r="AN47" i="16"/>
  <c r="AM47" i="16"/>
  <c r="AL47" i="16"/>
  <c r="AH47" i="16"/>
  <c r="AG47" i="16"/>
  <c r="AF47" i="16"/>
  <c r="AE47" i="16"/>
  <c r="AA47" i="16"/>
  <c r="Z47" i="16"/>
  <c r="Y47" i="16"/>
  <c r="X47" i="16"/>
  <c r="T47" i="16"/>
  <c r="BM47" i="16" s="1"/>
  <c r="S47" i="16"/>
  <c r="R47" i="16"/>
  <c r="Q47" i="16"/>
  <c r="M47" i="16"/>
  <c r="L47" i="16"/>
  <c r="K47" i="16"/>
  <c r="J47" i="16"/>
  <c r="F47" i="16"/>
  <c r="E47" i="16"/>
  <c r="D47" i="16"/>
  <c r="C47" i="16"/>
  <c r="BG46" i="16"/>
  <c r="AO46" i="16"/>
  <c r="AN46" i="16"/>
  <c r="AM46" i="16"/>
  <c r="AL46" i="16"/>
  <c r="AH46" i="16"/>
  <c r="AG46" i="16"/>
  <c r="AF46" i="16"/>
  <c r="AE46" i="16"/>
  <c r="AA46" i="16"/>
  <c r="Z46" i="16"/>
  <c r="Y46" i="16"/>
  <c r="X46" i="16"/>
  <c r="T46" i="16"/>
  <c r="S46" i="16"/>
  <c r="R46" i="16"/>
  <c r="Q46" i="16"/>
  <c r="M46" i="16"/>
  <c r="L46" i="16"/>
  <c r="K46" i="16"/>
  <c r="J46" i="16"/>
  <c r="F46" i="16"/>
  <c r="E46" i="16"/>
  <c r="D46" i="16"/>
  <c r="C46" i="16"/>
  <c r="BG45" i="16"/>
  <c r="AO45" i="16"/>
  <c r="AN45" i="16"/>
  <c r="AH45" i="16"/>
  <c r="AG45" i="16"/>
  <c r="AF45" i="16"/>
  <c r="AE45" i="16"/>
  <c r="AA45" i="16"/>
  <c r="Z45" i="16"/>
  <c r="T45" i="16"/>
  <c r="S45" i="16"/>
  <c r="R45" i="16"/>
  <c r="Q45" i="16"/>
  <c r="M45" i="16"/>
  <c r="L45" i="16"/>
  <c r="K45" i="16"/>
  <c r="J45" i="16"/>
  <c r="F45" i="16"/>
  <c r="E45" i="16"/>
  <c r="D45" i="16"/>
  <c r="C45" i="16"/>
  <c r="BG44" i="16"/>
  <c r="AO44" i="16"/>
  <c r="AN44" i="16"/>
  <c r="AM44" i="16"/>
  <c r="AL44" i="16"/>
  <c r="AH44" i="16"/>
  <c r="AG44" i="16"/>
  <c r="AF44" i="16"/>
  <c r="AE44" i="16"/>
  <c r="AA44" i="16"/>
  <c r="Z44" i="16"/>
  <c r="Y44" i="16"/>
  <c r="X44" i="16"/>
  <c r="T44" i="16"/>
  <c r="S44" i="16"/>
  <c r="R44" i="16"/>
  <c r="Q44" i="16"/>
  <c r="M44" i="16"/>
  <c r="L44" i="16"/>
  <c r="K44" i="16"/>
  <c r="J44" i="16"/>
  <c r="F44" i="16"/>
  <c r="E44" i="16"/>
  <c r="D44" i="16"/>
  <c r="C44" i="16"/>
  <c r="BG43" i="16"/>
  <c r="BT43" i="16" s="1"/>
  <c r="AO43" i="16"/>
  <c r="AN43" i="16"/>
  <c r="AM43" i="16"/>
  <c r="AL43" i="16"/>
  <c r="AH43" i="16"/>
  <c r="AG43" i="16"/>
  <c r="AF43" i="16"/>
  <c r="AE43" i="16"/>
  <c r="AA43" i="16"/>
  <c r="Z43" i="16"/>
  <c r="Y43" i="16"/>
  <c r="X43" i="16"/>
  <c r="T43" i="16"/>
  <c r="S43" i="16"/>
  <c r="R43" i="16"/>
  <c r="Q43" i="16"/>
  <c r="M43" i="16"/>
  <c r="L43" i="16"/>
  <c r="K43" i="16"/>
  <c r="J43" i="16"/>
  <c r="F43" i="16"/>
  <c r="E43" i="16"/>
  <c r="D43" i="16"/>
  <c r="C43" i="16"/>
  <c r="BT42" i="16"/>
  <c r="BG42" i="16"/>
  <c r="AO42" i="16"/>
  <c r="AN42" i="16"/>
  <c r="AM42" i="16"/>
  <c r="AL42" i="16"/>
  <c r="AH42" i="16"/>
  <c r="AG42" i="16"/>
  <c r="AF42" i="16"/>
  <c r="AE42" i="16"/>
  <c r="AA42" i="16"/>
  <c r="Z42" i="16"/>
  <c r="Y42" i="16"/>
  <c r="X42" i="16"/>
  <c r="T42" i="16"/>
  <c r="BM42" i="16" s="1"/>
  <c r="S42" i="16"/>
  <c r="R42" i="16"/>
  <c r="Q42" i="16"/>
  <c r="M42" i="16"/>
  <c r="BL42" i="16" s="1"/>
  <c r="L42" i="16"/>
  <c r="K42" i="16"/>
  <c r="J42" i="16"/>
  <c r="F42" i="16"/>
  <c r="E42" i="16"/>
  <c r="D42" i="16"/>
  <c r="C42" i="16"/>
  <c r="BG41" i="16"/>
  <c r="AO41" i="16"/>
  <c r="AN41" i="16"/>
  <c r="AM41" i="16"/>
  <c r="AL41" i="16"/>
  <c r="AH41" i="16"/>
  <c r="AG41" i="16"/>
  <c r="AF41" i="16"/>
  <c r="AE41" i="16"/>
  <c r="AA41" i="16"/>
  <c r="Z41" i="16"/>
  <c r="Y41" i="16"/>
  <c r="X41" i="16"/>
  <c r="T41" i="16"/>
  <c r="S41" i="16"/>
  <c r="R41" i="16"/>
  <c r="Q41" i="16"/>
  <c r="M41" i="16"/>
  <c r="L41" i="16"/>
  <c r="K41" i="16"/>
  <c r="J41" i="16"/>
  <c r="F41" i="16"/>
  <c r="E41" i="16"/>
  <c r="D41" i="16"/>
  <c r="C41" i="16"/>
  <c r="BG40" i="16"/>
  <c r="AO40" i="16"/>
  <c r="AN40" i="16"/>
  <c r="AM40" i="16"/>
  <c r="AH40" i="16"/>
  <c r="AG40" i="16"/>
  <c r="AF40" i="16"/>
  <c r="AE40" i="16"/>
  <c r="Z40" i="16"/>
  <c r="Y40" i="16"/>
  <c r="T40" i="16"/>
  <c r="S40" i="16"/>
  <c r="R40" i="16"/>
  <c r="Q40" i="16"/>
  <c r="M40" i="16"/>
  <c r="L40" i="16"/>
  <c r="K40" i="16"/>
  <c r="J40" i="16"/>
  <c r="F40" i="16"/>
  <c r="E40" i="16"/>
  <c r="D40" i="16"/>
  <c r="C40" i="16"/>
  <c r="BG39" i="16"/>
  <c r="AO39" i="16"/>
  <c r="AN39" i="16"/>
  <c r="AM39" i="16"/>
  <c r="AL39" i="16"/>
  <c r="AH39" i="16"/>
  <c r="AG39" i="16"/>
  <c r="AF39" i="16"/>
  <c r="AE39" i="16"/>
  <c r="AA39" i="16"/>
  <c r="Z39" i="16"/>
  <c r="Y39" i="16"/>
  <c r="X39" i="16"/>
  <c r="T39" i="16"/>
  <c r="S39" i="16"/>
  <c r="R39" i="16"/>
  <c r="Q39" i="16"/>
  <c r="M39" i="16"/>
  <c r="L39" i="16"/>
  <c r="K39" i="16"/>
  <c r="J39" i="16"/>
  <c r="F39" i="16"/>
  <c r="E39" i="16"/>
  <c r="D39" i="16"/>
  <c r="C39" i="16"/>
  <c r="AO38" i="16"/>
  <c r="AN38" i="16"/>
  <c r="AM38" i="16"/>
  <c r="AL38" i="16"/>
  <c r="AH38" i="16"/>
  <c r="AG38" i="16"/>
  <c r="AF38" i="16"/>
  <c r="AA38" i="16"/>
  <c r="Z38" i="16"/>
  <c r="Y38" i="16"/>
  <c r="X38" i="16"/>
  <c r="T38" i="16"/>
  <c r="S38" i="16"/>
  <c r="R38" i="16"/>
  <c r="Q38" i="16"/>
  <c r="M38" i="16"/>
  <c r="L38" i="16"/>
  <c r="K38" i="16"/>
  <c r="J38" i="16"/>
  <c r="F38" i="16"/>
  <c r="E38" i="16"/>
  <c r="D38" i="16"/>
  <c r="C38" i="16"/>
  <c r="BG37" i="16"/>
  <c r="AO37" i="16"/>
  <c r="AN37" i="16"/>
  <c r="AM37" i="16"/>
  <c r="AL37" i="16"/>
  <c r="AH37" i="16"/>
  <c r="AG37" i="16"/>
  <c r="AF37" i="16"/>
  <c r="AE37" i="16"/>
  <c r="AA37" i="16"/>
  <c r="Z37" i="16"/>
  <c r="Y37" i="16"/>
  <c r="X37" i="16"/>
  <c r="T37" i="16"/>
  <c r="BM37" i="16" s="1"/>
  <c r="S37" i="16"/>
  <c r="R37" i="16"/>
  <c r="Q37" i="16"/>
  <c r="M37" i="16"/>
  <c r="L37" i="16"/>
  <c r="K37" i="16"/>
  <c r="J37" i="16"/>
  <c r="F37" i="16"/>
  <c r="E37" i="16"/>
  <c r="D37" i="16"/>
  <c r="C37" i="16"/>
  <c r="BG36" i="16"/>
  <c r="AO36" i="16"/>
  <c r="AN36" i="16"/>
  <c r="AM36" i="16"/>
  <c r="AL36" i="16"/>
  <c r="AH36" i="16"/>
  <c r="AG36" i="16"/>
  <c r="AF36" i="16"/>
  <c r="AE36" i="16"/>
  <c r="AA36" i="16"/>
  <c r="Z36" i="16"/>
  <c r="Y36" i="16"/>
  <c r="X36" i="16"/>
  <c r="T36" i="16"/>
  <c r="BM36" i="16" s="1"/>
  <c r="S36" i="16"/>
  <c r="R36" i="16"/>
  <c r="Q36" i="16"/>
  <c r="M36" i="16"/>
  <c r="L36" i="16"/>
  <c r="K36" i="16"/>
  <c r="J36" i="16"/>
  <c r="F36" i="16"/>
  <c r="E36" i="16"/>
  <c r="D36" i="16"/>
  <c r="C36" i="16"/>
  <c r="BG35" i="16"/>
  <c r="BT35" i="16" s="1"/>
  <c r="AO35" i="16"/>
  <c r="AN35" i="16"/>
  <c r="AM35" i="16"/>
  <c r="AL35" i="16"/>
  <c r="AH35" i="16"/>
  <c r="AG35" i="16"/>
  <c r="AF35" i="16"/>
  <c r="AE35" i="16"/>
  <c r="AA35" i="16"/>
  <c r="Z35" i="16"/>
  <c r="Y35" i="16"/>
  <c r="X35" i="16"/>
  <c r="T35" i="16"/>
  <c r="S35" i="16"/>
  <c r="R35" i="16"/>
  <c r="Q35" i="16"/>
  <c r="M35" i="16"/>
  <c r="L35" i="16"/>
  <c r="K35" i="16"/>
  <c r="J35" i="16"/>
  <c r="F35" i="16"/>
  <c r="E35" i="16"/>
  <c r="D35" i="16"/>
  <c r="C35" i="16"/>
  <c r="BG34" i="16"/>
  <c r="AO34" i="16"/>
  <c r="AN34" i="16"/>
  <c r="AM34" i="16"/>
  <c r="AL34" i="16"/>
  <c r="AH34" i="16"/>
  <c r="AG34" i="16"/>
  <c r="AF34" i="16"/>
  <c r="AE34" i="16"/>
  <c r="AA34" i="16"/>
  <c r="Z34" i="16"/>
  <c r="Y34" i="16"/>
  <c r="X34" i="16"/>
  <c r="T34" i="16"/>
  <c r="S34" i="16"/>
  <c r="R34" i="16"/>
  <c r="Q34" i="16"/>
  <c r="M34" i="16"/>
  <c r="L34" i="16"/>
  <c r="K34" i="16"/>
  <c r="J34" i="16"/>
  <c r="F34" i="16"/>
  <c r="E34" i="16"/>
  <c r="D34" i="16"/>
  <c r="C34" i="16"/>
  <c r="BG33" i="16"/>
  <c r="BT33" i="16" s="1"/>
  <c r="AO33" i="16"/>
  <c r="AN33" i="16"/>
  <c r="AM33" i="16"/>
  <c r="AL33" i="16"/>
  <c r="AH33" i="16"/>
  <c r="AG33" i="16"/>
  <c r="AF33" i="16"/>
  <c r="AE33" i="16"/>
  <c r="AA33" i="16"/>
  <c r="Z33" i="16"/>
  <c r="Y33" i="16"/>
  <c r="X33" i="16"/>
  <c r="T33" i="16"/>
  <c r="R33" i="16"/>
  <c r="Q33" i="16"/>
  <c r="M33" i="16"/>
  <c r="L33" i="16"/>
  <c r="K33" i="16"/>
  <c r="J33" i="16"/>
  <c r="F33" i="16"/>
  <c r="E33" i="16"/>
  <c r="D33" i="16"/>
  <c r="C33" i="16"/>
  <c r="BG32" i="16"/>
  <c r="AO32" i="16"/>
  <c r="AN32" i="16"/>
  <c r="AM32" i="16"/>
  <c r="AL32" i="16"/>
  <c r="AH32" i="16"/>
  <c r="AG32" i="16"/>
  <c r="AF32" i="16"/>
  <c r="AE32" i="16"/>
  <c r="AA32" i="16"/>
  <c r="Z32" i="16"/>
  <c r="Y32" i="16"/>
  <c r="X32" i="16"/>
  <c r="T32" i="16"/>
  <c r="S32" i="16"/>
  <c r="R32" i="16"/>
  <c r="Q32" i="16"/>
  <c r="M32" i="16"/>
  <c r="L32" i="16"/>
  <c r="K32" i="16"/>
  <c r="J32" i="16"/>
  <c r="F32" i="16"/>
  <c r="E32" i="16"/>
  <c r="D32" i="16"/>
  <c r="C32" i="16"/>
  <c r="BG31" i="16"/>
  <c r="AO31" i="16"/>
  <c r="AN31" i="16"/>
  <c r="AM31" i="16"/>
  <c r="AL31" i="16"/>
  <c r="AH31" i="16"/>
  <c r="AG31" i="16"/>
  <c r="AF31" i="16"/>
  <c r="AE31" i="16"/>
  <c r="AA31" i="16"/>
  <c r="Z31" i="16"/>
  <c r="Y31" i="16"/>
  <c r="X31" i="16"/>
  <c r="T31" i="16"/>
  <c r="BM31" i="16" s="1"/>
  <c r="S31" i="16"/>
  <c r="R31" i="16"/>
  <c r="Q31" i="16"/>
  <c r="M31" i="16"/>
  <c r="L31" i="16"/>
  <c r="K31" i="16"/>
  <c r="J31" i="16"/>
  <c r="F31" i="16"/>
  <c r="E31" i="16"/>
  <c r="D31" i="16"/>
  <c r="C31" i="16"/>
  <c r="BG30" i="16"/>
  <c r="BT30" i="16" s="1"/>
  <c r="AO30" i="16"/>
  <c r="AN30" i="16"/>
  <c r="AM30" i="16"/>
  <c r="AL30" i="16"/>
  <c r="AH30" i="16"/>
  <c r="AG30" i="16"/>
  <c r="AF30" i="16"/>
  <c r="AE30" i="16"/>
  <c r="AA30" i="16"/>
  <c r="Z30" i="16"/>
  <c r="Y30" i="16"/>
  <c r="X30" i="16"/>
  <c r="T30" i="16"/>
  <c r="S30" i="16"/>
  <c r="R30" i="16"/>
  <c r="Q30" i="16"/>
  <c r="M30" i="16"/>
  <c r="L30" i="16"/>
  <c r="K30" i="16"/>
  <c r="J30" i="16"/>
  <c r="F30" i="16"/>
  <c r="E30" i="16"/>
  <c r="D30" i="16"/>
  <c r="C30" i="16"/>
  <c r="BG29" i="16"/>
  <c r="AO29" i="16"/>
  <c r="AN29" i="16"/>
  <c r="AM29" i="16"/>
  <c r="AL29" i="16"/>
  <c r="AH29" i="16"/>
  <c r="AG29" i="16"/>
  <c r="AF29" i="16"/>
  <c r="AE29" i="16"/>
  <c r="AA29" i="16"/>
  <c r="Z29" i="16"/>
  <c r="Y29" i="16"/>
  <c r="X29" i="16"/>
  <c r="T29" i="16"/>
  <c r="S29" i="16"/>
  <c r="R29" i="16"/>
  <c r="Q29" i="16"/>
  <c r="M29" i="16"/>
  <c r="L29" i="16"/>
  <c r="K29" i="16"/>
  <c r="J29" i="16"/>
  <c r="F29" i="16"/>
  <c r="E29" i="16"/>
  <c r="D29" i="16"/>
  <c r="C29" i="16"/>
  <c r="BG28" i="16"/>
  <c r="AO28" i="16"/>
  <c r="AN28" i="16"/>
  <c r="AM28" i="16"/>
  <c r="AL28" i="16"/>
  <c r="AH28" i="16"/>
  <c r="AG28" i="16"/>
  <c r="AF28" i="16"/>
  <c r="AE28" i="16"/>
  <c r="AA28" i="16"/>
  <c r="Z28" i="16"/>
  <c r="Y28" i="16"/>
  <c r="X28" i="16"/>
  <c r="T28" i="16"/>
  <c r="BM28" i="16" s="1"/>
  <c r="S28" i="16"/>
  <c r="R28" i="16"/>
  <c r="Q28" i="16"/>
  <c r="M28" i="16"/>
  <c r="L28" i="16"/>
  <c r="K28" i="16"/>
  <c r="J28" i="16"/>
  <c r="F28" i="16"/>
  <c r="E28" i="16"/>
  <c r="D28" i="16"/>
  <c r="C28" i="16"/>
  <c r="BG27" i="16"/>
  <c r="AO27" i="16"/>
  <c r="AN27" i="16"/>
  <c r="AM27" i="16"/>
  <c r="AL27" i="16"/>
  <c r="AH27" i="16"/>
  <c r="AG27" i="16"/>
  <c r="AF27" i="16"/>
  <c r="AE27" i="16"/>
  <c r="AA27" i="16"/>
  <c r="Z27" i="16"/>
  <c r="Y27" i="16"/>
  <c r="X27" i="16"/>
  <c r="T27" i="16"/>
  <c r="S27" i="16"/>
  <c r="R27" i="16"/>
  <c r="Q27" i="16"/>
  <c r="M27" i="16"/>
  <c r="L27" i="16"/>
  <c r="K27" i="16"/>
  <c r="J27" i="16"/>
  <c r="F27" i="16"/>
  <c r="E27" i="16"/>
  <c r="D27" i="16"/>
  <c r="C27" i="16"/>
  <c r="BG26" i="16"/>
  <c r="BT26" i="16" s="1"/>
  <c r="AO26" i="16"/>
  <c r="AN26" i="16"/>
  <c r="AM26" i="16"/>
  <c r="AL26" i="16"/>
  <c r="AH26" i="16"/>
  <c r="AG26" i="16"/>
  <c r="AF26" i="16"/>
  <c r="AE26" i="16"/>
  <c r="AA26" i="16"/>
  <c r="Z26" i="16"/>
  <c r="Y26" i="16"/>
  <c r="X26" i="16"/>
  <c r="T26" i="16"/>
  <c r="BM26" i="16" s="1"/>
  <c r="S26" i="16"/>
  <c r="R26" i="16"/>
  <c r="Q26" i="16"/>
  <c r="M26" i="16"/>
  <c r="L26" i="16"/>
  <c r="K26" i="16"/>
  <c r="J26" i="16"/>
  <c r="F26" i="16"/>
  <c r="E26" i="16"/>
  <c r="D26" i="16"/>
  <c r="C26" i="16"/>
  <c r="BG25" i="16"/>
  <c r="AO25" i="16"/>
  <c r="AN25" i="16"/>
  <c r="AM25" i="16"/>
  <c r="AL25" i="16"/>
  <c r="AH25" i="16"/>
  <c r="AG25" i="16"/>
  <c r="AF25" i="16"/>
  <c r="AE25" i="16"/>
  <c r="AA25" i="16"/>
  <c r="Z25" i="16"/>
  <c r="Y25" i="16"/>
  <c r="X25" i="16"/>
  <c r="T25" i="16"/>
  <c r="BM25" i="16" s="1"/>
  <c r="S25" i="16"/>
  <c r="R25" i="16"/>
  <c r="Q25" i="16"/>
  <c r="M25" i="16"/>
  <c r="L25" i="16"/>
  <c r="K25" i="16"/>
  <c r="J25" i="16"/>
  <c r="F25" i="16"/>
  <c r="E25" i="16"/>
  <c r="D25" i="16"/>
  <c r="C25" i="16"/>
  <c r="BG24" i="16"/>
  <c r="BT24" i="16" s="1"/>
  <c r="AO24" i="16"/>
  <c r="AN24" i="16"/>
  <c r="AM24" i="16"/>
  <c r="AL24" i="16"/>
  <c r="AH24" i="16"/>
  <c r="AG24" i="16"/>
  <c r="AF24" i="16"/>
  <c r="AE24" i="16"/>
  <c r="AA24" i="16"/>
  <c r="Z24" i="16"/>
  <c r="Y24" i="16"/>
  <c r="X24" i="16"/>
  <c r="T24" i="16"/>
  <c r="BM24" i="16" s="1"/>
  <c r="S24" i="16"/>
  <c r="R24" i="16"/>
  <c r="Q24" i="16"/>
  <c r="M24" i="16"/>
  <c r="L24" i="16"/>
  <c r="K24" i="16"/>
  <c r="J24" i="16"/>
  <c r="F24" i="16"/>
  <c r="E24" i="16"/>
  <c r="D24" i="16"/>
  <c r="C24" i="16"/>
  <c r="BT23" i="16"/>
  <c r="BG23" i="16"/>
  <c r="AO23" i="16"/>
  <c r="AN23" i="16"/>
  <c r="AM23" i="16"/>
  <c r="AL23" i="16"/>
  <c r="AH23" i="16"/>
  <c r="AG23" i="16"/>
  <c r="AF23" i="16"/>
  <c r="AE23" i="16"/>
  <c r="AA23" i="16"/>
  <c r="Z23" i="16"/>
  <c r="Y23" i="16"/>
  <c r="X23" i="16"/>
  <c r="T23" i="16"/>
  <c r="S23" i="16"/>
  <c r="R23" i="16"/>
  <c r="Q23" i="16"/>
  <c r="M23" i="16"/>
  <c r="L23" i="16"/>
  <c r="K23" i="16"/>
  <c r="J23" i="16"/>
  <c r="F23" i="16"/>
  <c r="E23" i="16"/>
  <c r="D23" i="16"/>
  <c r="C23" i="16"/>
  <c r="AO22" i="16"/>
  <c r="AN22" i="16"/>
  <c r="AM22" i="16"/>
  <c r="AL22" i="16"/>
  <c r="AH22" i="16"/>
  <c r="AG22" i="16"/>
  <c r="AF22" i="16"/>
  <c r="AE22" i="16"/>
  <c r="AA22" i="16"/>
  <c r="Z22" i="16"/>
  <c r="Y22" i="16"/>
  <c r="X22" i="16"/>
  <c r="T22" i="16"/>
  <c r="BM22" i="16" s="1"/>
  <c r="S22" i="16"/>
  <c r="R22" i="16"/>
  <c r="Q22" i="16"/>
  <c r="M22" i="16"/>
  <c r="L22" i="16"/>
  <c r="K22" i="16"/>
  <c r="J22" i="16"/>
  <c r="F22" i="16"/>
  <c r="E22" i="16"/>
  <c r="D22" i="16"/>
  <c r="C22" i="16"/>
  <c r="BG21" i="16"/>
  <c r="AO21" i="16"/>
  <c r="AN21" i="16"/>
  <c r="AM21" i="16"/>
  <c r="AL21" i="16"/>
  <c r="AH21" i="16"/>
  <c r="AG21" i="16"/>
  <c r="AF21" i="16"/>
  <c r="AE21" i="16"/>
  <c r="AA21" i="16"/>
  <c r="Z21" i="16"/>
  <c r="Y21" i="16"/>
  <c r="X21" i="16"/>
  <c r="T21" i="16"/>
  <c r="BM21" i="16" s="1"/>
  <c r="S21" i="16"/>
  <c r="R21" i="16"/>
  <c r="Q21" i="16"/>
  <c r="M21" i="16"/>
  <c r="L21" i="16"/>
  <c r="K21" i="16"/>
  <c r="J21" i="16"/>
  <c r="F21" i="16"/>
  <c r="E21" i="16"/>
  <c r="D21" i="16"/>
  <c r="C21" i="16"/>
  <c r="BG20" i="16"/>
  <c r="AO20" i="16"/>
  <c r="AN20" i="16"/>
  <c r="AM20" i="16"/>
  <c r="AL20" i="16"/>
  <c r="AH20" i="16"/>
  <c r="AG20" i="16"/>
  <c r="AF20" i="16"/>
  <c r="AE20" i="16"/>
  <c r="AA20" i="16"/>
  <c r="Z20" i="16"/>
  <c r="Y20" i="16"/>
  <c r="X20" i="16"/>
  <c r="T20" i="16"/>
  <c r="S20" i="16"/>
  <c r="R20" i="16"/>
  <c r="Q20" i="16"/>
  <c r="M20" i="16"/>
  <c r="BL20" i="16" s="1"/>
  <c r="L20" i="16"/>
  <c r="K20" i="16"/>
  <c r="J20" i="16"/>
  <c r="F20" i="16"/>
  <c r="E20" i="16"/>
  <c r="D20" i="16"/>
  <c r="C20" i="16"/>
  <c r="BG19" i="16"/>
  <c r="BT19" i="16" s="1"/>
  <c r="AO19" i="16"/>
  <c r="AN19" i="16"/>
  <c r="AM19" i="16"/>
  <c r="AL19" i="16"/>
  <c r="AH19" i="16"/>
  <c r="AG19" i="16"/>
  <c r="AF19" i="16"/>
  <c r="AE19" i="16"/>
  <c r="AA19" i="16"/>
  <c r="Z19" i="16"/>
  <c r="Y19" i="16"/>
  <c r="X19" i="16"/>
  <c r="T19" i="16"/>
  <c r="BM19" i="16" s="1"/>
  <c r="S19" i="16"/>
  <c r="R19" i="16"/>
  <c r="Q19" i="16"/>
  <c r="M19" i="16"/>
  <c r="L19" i="16"/>
  <c r="K19" i="16"/>
  <c r="J19" i="16"/>
  <c r="F19" i="16"/>
  <c r="E19" i="16"/>
  <c r="D19" i="16"/>
  <c r="C19" i="16"/>
  <c r="BG18" i="16"/>
  <c r="BT18" i="16" s="1"/>
  <c r="AO18" i="16"/>
  <c r="AN18" i="16"/>
  <c r="AM18" i="16"/>
  <c r="AL18" i="16"/>
  <c r="AH18" i="16"/>
  <c r="AG18" i="16"/>
  <c r="AF18" i="16"/>
  <c r="AE18" i="16"/>
  <c r="AA18" i="16"/>
  <c r="Z18" i="16"/>
  <c r="Y18" i="16"/>
  <c r="X18" i="16"/>
  <c r="T18" i="16"/>
  <c r="BM18" i="16" s="1"/>
  <c r="S18" i="16"/>
  <c r="R18" i="16"/>
  <c r="Q18" i="16"/>
  <c r="M18" i="16"/>
  <c r="L18" i="16"/>
  <c r="K18" i="16"/>
  <c r="J18" i="16"/>
  <c r="F18" i="16"/>
  <c r="E18" i="16"/>
  <c r="D18" i="16"/>
  <c r="C18" i="16"/>
  <c r="BG17" i="16"/>
  <c r="AO17" i="16"/>
  <c r="AN17" i="16"/>
  <c r="AM17" i="16"/>
  <c r="AL17" i="16"/>
  <c r="AH17" i="16"/>
  <c r="AG17" i="16"/>
  <c r="AF17" i="16"/>
  <c r="AE17" i="16"/>
  <c r="AA17" i="16"/>
  <c r="Z17" i="16"/>
  <c r="Y17" i="16"/>
  <c r="X17" i="16"/>
  <c r="T17" i="16"/>
  <c r="BM17" i="16" s="1"/>
  <c r="S17" i="16"/>
  <c r="R17" i="16"/>
  <c r="Q17" i="16"/>
  <c r="M17" i="16"/>
  <c r="L17" i="16"/>
  <c r="K17" i="16"/>
  <c r="J17" i="16"/>
  <c r="F17" i="16"/>
  <c r="E17" i="16"/>
  <c r="D17" i="16"/>
  <c r="C17" i="16"/>
  <c r="BG16" i="16"/>
  <c r="AO16" i="16"/>
  <c r="AN16" i="16"/>
  <c r="AM16" i="16"/>
  <c r="AL16" i="16"/>
  <c r="AH16" i="16"/>
  <c r="AG16" i="16"/>
  <c r="AF16" i="16"/>
  <c r="AE16" i="16"/>
  <c r="AA16" i="16"/>
  <c r="Z16" i="16"/>
  <c r="Y16" i="16"/>
  <c r="X16" i="16"/>
  <c r="T16" i="16"/>
  <c r="S16" i="16"/>
  <c r="R16" i="16"/>
  <c r="Q16" i="16"/>
  <c r="M16" i="16"/>
  <c r="L16" i="16"/>
  <c r="K16" i="16"/>
  <c r="J16" i="16"/>
  <c r="F16" i="16"/>
  <c r="E16" i="16"/>
  <c r="D16" i="16"/>
  <c r="C16" i="16"/>
  <c r="BT15" i="16"/>
  <c r="BQ15" i="16"/>
  <c r="AY15" i="16"/>
  <c r="BG14" i="16"/>
  <c r="BT14" i="16" s="1"/>
  <c r="AO14" i="16"/>
  <c r="AN14" i="16"/>
  <c r="AM14" i="16"/>
  <c r="AL14" i="16"/>
  <c r="AH14" i="16"/>
  <c r="AG14" i="16"/>
  <c r="AF14" i="16"/>
  <c r="AE14" i="16"/>
  <c r="AA14" i="16"/>
  <c r="Z14" i="16"/>
  <c r="Y14" i="16"/>
  <c r="X14" i="16"/>
  <c r="T14" i="16"/>
  <c r="S14" i="16"/>
  <c r="R14" i="16"/>
  <c r="Q14" i="16"/>
  <c r="M14" i="16"/>
  <c r="L14" i="16"/>
  <c r="K14" i="16"/>
  <c r="J14" i="16"/>
  <c r="F14" i="16"/>
  <c r="E14" i="16"/>
  <c r="D14" i="16"/>
  <c r="C14" i="16"/>
  <c r="BG13" i="16"/>
  <c r="BT13" i="16" s="1"/>
  <c r="AO13" i="16"/>
  <c r="AN13" i="16"/>
  <c r="AM13" i="16"/>
  <c r="AL13" i="16"/>
  <c r="AH13" i="16"/>
  <c r="AG13" i="16"/>
  <c r="AF13" i="16"/>
  <c r="AE13" i="16"/>
  <c r="AA13" i="16"/>
  <c r="Z13" i="16"/>
  <c r="Y13" i="16"/>
  <c r="X13" i="16"/>
  <c r="T13" i="16"/>
  <c r="BM13" i="16" s="1"/>
  <c r="S13" i="16"/>
  <c r="R13" i="16"/>
  <c r="Q13" i="16"/>
  <c r="M13" i="16"/>
  <c r="L13" i="16"/>
  <c r="K13" i="16"/>
  <c r="J13" i="16"/>
  <c r="F13" i="16"/>
  <c r="E13" i="16"/>
  <c r="D13" i="16"/>
  <c r="C13" i="16"/>
  <c r="BG12" i="16"/>
  <c r="AO12" i="16"/>
  <c r="AN12" i="16"/>
  <c r="AM12" i="16"/>
  <c r="AL12" i="16"/>
  <c r="AH12" i="16"/>
  <c r="AG12" i="16"/>
  <c r="AF12" i="16"/>
  <c r="AE12" i="16"/>
  <c r="AA12" i="16"/>
  <c r="Z12" i="16"/>
  <c r="Y12" i="16"/>
  <c r="X12" i="16"/>
  <c r="T12" i="16"/>
  <c r="BM12" i="16" s="1"/>
  <c r="S12" i="16"/>
  <c r="R12" i="16"/>
  <c r="Q12" i="16"/>
  <c r="M12" i="16"/>
  <c r="L12" i="16"/>
  <c r="K12" i="16"/>
  <c r="J12" i="16"/>
  <c r="F12" i="16"/>
  <c r="E12" i="16"/>
  <c r="D12" i="16"/>
  <c r="C12" i="16"/>
  <c r="BG11" i="16"/>
  <c r="BT11" i="16" s="1"/>
  <c r="AO11" i="16"/>
  <c r="AN11" i="16"/>
  <c r="AM11" i="16"/>
  <c r="AL11" i="16"/>
  <c r="AH11" i="16"/>
  <c r="AG11" i="16"/>
  <c r="AF11" i="16"/>
  <c r="AE11" i="16"/>
  <c r="AA11" i="16"/>
  <c r="Z11" i="16"/>
  <c r="Y11" i="16"/>
  <c r="X11" i="16"/>
  <c r="T11" i="16"/>
  <c r="BM11" i="16" s="1"/>
  <c r="S11" i="16"/>
  <c r="R11" i="16"/>
  <c r="Q11" i="16"/>
  <c r="M11" i="16"/>
  <c r="L11" i="16"/>
  <c r="K11" i="16"/>
  <c r="J11" i="16"/>
  <c r="F11" i="16"/>
  <c r="E11" i="16"/>
  <c r="D11" i="16"/>
  <c r="C11" i="16"/>
  <c r="BG10" i="16"/>
  <c r="BT10" i="16" s="1"/>
  <c r="AO10" i="16"/>
  <c r="AN10" i="16"/>
  <c r="AM10" i="16"/>
  <c r="AL10" i="16"/>
  <c r="AH10" i="16"/>
  <c r="AG10" i="16"/>
  <c r="AF10" i="16"/>
  <c r="AE10" i="16"/>
  <c r="AA10" i="16"/>
  <c r="Z10" i="16"/>
  <c r="Y10" i="16"/>
  <c r="X10" i="16"/>
  <c r="T10" i="16"/>
  <c r="S10" i="16"/>
  <c r="R10" i="16"/>
  <c r="Q10" i="16"/>
  <c r="M10" i="16"/>
  <c r="BL10" i="16" s="1"/>
  <c r="L10" i="16"/>
  <c r="K10" i="16"/>
  <c r="J10" i="16"/>
  <c r="F10" i="16"/>
  <c r="E10" i="16"/>
  <c r="D10" i="16"/>
  <c r="C10" i="16"/>
  <c r="BG9" i="16"/>
  <c r="BT9" i="16" s="1"/>
  <c r="AO9" i="16"/>
  <c r="AN9" i="16"/>
  <c r="AM9" i="16"/>
  <c r="AL9" i="16"/>
  <c r="AH9" i="16"/>
  <c r="AG9" i="16"/>
  <c r="AF9" i="16"/>
  <c r="AE9" i="16"/>
  <c r="AA9" i="16"/>
  <c r="Z9" i="16"/>
  <c r="Y9" i="16"/>
  <c r="X9" i="16"/>
  <c r="T9" i="16"/>
  <c r="BM9" i="16" s="1"/>
  <c r="S9" i="16"/>
  <c r="R9" i="16"/>
  <c r="Q9" i="16"/>
  <c r="M9" i="16"/>
  <c r="L9" i="16"/>
  <c r="K9" i="16"/>
  <c r="J9" i="16"/>
  <c r="F9" i="16"/>
  <c r="E9" i="16"/>
  <c r="D9" i="16"/>
  <c r="C9" i="16"/>
  <c r="F7" i="16"/>
  <c r="E7" i="16"/>
  <c r="D7" i="16"/>
  <c r="C7" i="16"/>
  <c r="AZ6" i="16"/>
  <c r="AZ4" i="16"/>
  <c r="BE15" i="16" s="1"/>
  <c r="BL22" i="16" l="1"/>
  <c r="BL23" i="16"/>
  <c r="BL39" i="16"/>
  <c r="BL14" i="16"/>
  <c r="BL11" i="16"/>
  <c r="BL21" i="16"/>
  <c r="BL34" i="16"/>
  <c r="BL26" i="16"/>
  <c r="BL43" i="16"/>
  <c r="BL16" i="16"/>
  <c r="BL28" i="16"/>
  <c r="BL18" i="16"/>
  <c r="BL31" i="16"/>
  <c r="BT12" i="16"/>
  <c r="BT37" i="16"/>
  <c r="BT39" i="16"/>
  <c r="BT17" i="16"/>
  <c r="BT31" i="16"/>
  <c r="BT48" i="16"/>
  <c r="BT20" i="16"/>
  <c r="BM46" i="16"/>
  <c r="BT40" i="16"/>
  <c r="BM41" i="16"/>
  <c r="BT29" i="16"/>
  <c r="BL12" i="16"/>
  <c r="BL30" i="16"/>
  <c r="BM29" i="16"/>
  <c r="BL46" i="16"/>
  <c r="BL9" i="16"/>
  <c r="BM32" i="16"/>
  <c r="BM33" i="16"/>
  <c r="BM43" i="16"/>
  <c r="BM10" i="16"/>
  <c r="BT21" i="16"/>
  <c r="BT25" i="16"/>
  <c r="BT32" i="16"/>
  <c r="BT45" i="16"/>
  <c r="BT16" i="16"/>
  <c r="BM14" i="16"/>
  <c r="BM23" i="16"/>
  <c r="BL24" i="16"/>
  <c r="BM30" i="16"/>
  <c r="BM34" i="16"/>
  <c r="BT44" i="16"/>
  <c r="BM35" i="16"/>
  <c r="BT41" i="16"/>
  <c r="BT46" i="16"/>
  <c r="BL48" i="16"/>
  <c r="BM27" i="16"/>
  <c r="BL25" i="16"/>
  <c r="BL27" i="16"/>
  <c r="BL38" i="16"/>
  <c r="BL13" i="16"/>
  <c r="BL17" i="16"/>
  <c r="BT27" i="16"/>
  <c r="BL29" i="16"/>
  <c r="BL19" i="16"/>
  <c r="BL33" i="16"/>
  <c r="BL44" i="16"/>
  <c r="BM16" i="16"/>
  <c r="BM20" i="16"/>
  <c r="BL41" i="16"/>
  <c r="BT22" i="16"/>
  <c r="BT34" i="16"/>
  <c r="BT28" i="16"/>
  <c r="H32" i="16"/>
  <c r="G32" i="16"/>
  <c r="D49" i="16"/>
  <c r="E49" i="16"/>
  <c r="F49" i="16"/>
  <c r="E43" i="19"/>
  <c r="BT36" i="16"/>
  <c r="C49" i="16"/>
  <c r="BL40" i="16"/>
  <c r="BL45" i="16"/>
  <c r="BL36" i="16"/>
  <c r="BL47" i="16"/>
  <c r="BM38" i="16"/>
  <c r="BL32" i="16"/>
  <c r="BL35" i="16"/>
  <c r="BL37" i="16"/>
  <c r="BM39" i="16"/>
  <c r="R49" i="16"/>
  <c r="BM45" i="16"/>
  <c r="X45" i="16"/>
  <c r="AL45" i="16"/>
  <c r="AM45" i="16"/>
  <c r="C43" i="21"/>
  <c r="Y45" i="16"/>
  <c r="BM44" i="16"/>
  <c r="BM40" i="16"/>
  <c r="B43" i="21"/>
  <c r="L49" i="16"/>
  <c r="N22" i="16" s="1"/>
  <c r="X40" i="16"/>
  <c r="BM48" i="16"/>
  <c r="E43" i="21"/>
  <c r="AN49" i="16"/>
  <c r="Z49" i="16"/>
  <c r="G41" i="16" l="1"/>
  <c r="N38" i="16"/>
  <c r="N48" i="16"/>
  <c r="G29" i="16"/>
  <c r="N36" i="16"/>
  <c r="N42" i="16"/>
  <c r="G35" i="16"/>
  <c r="G34" i="16"/>
  <c r="N14" i="16"/>
  <c r="Y49" i="16"/>
  <c r="AM49" i="16"/>
  <c r="AF49" i="16"/>
  <c r="N17" i="16"/>
  <c r="G42" i="16"/>
  <c r="N16" i="16"/>
  <c r="U20" i="16"/>
  <c r="G37" i="16"/>
  <c r="G31" i="16"/>
  <c r="G14" i="16"/>
  <c r="N18" i="16"/>
  <c r="BG49" i="16"/>
  <c r="AA49" i="16"/>
  <c r="AO49" i="16"/>
  <c r="AH49" i="16"/>
  <c r="G44" i="16"/>
  <c r="G20" i="16"/>
  <c r="G19" i="16"/>
  <c r="G12" i="16"/>
  <c r="G9" i="16"/>
  <c r="N28" i="16"/>
  <c r="N29" i="16"/>
  <c r="G18" i="16"/>
  <c r="G30" i="16"/>
  <c r="G25" i="16"/>
  <c r="G46" i="16"/>
  <c r="N12" i="16"/>
  <c r="N47" i="16"/>
  <c r="G38" i="16"/>
  <c r="G39" i="16"/>
  <c r="U47" i="16"/>
  <c r="U35" i="16"/>
  <c r="U37" i="16"/>
  <c r="U9" i="16"/>
  <c r="U16" i="16"/>
  <c r="G40" i="16"/>
  <c r="U23" i="16"/>
  <c r="G11" i="16"/>
  <c r="G48" i="16"/>
  <c r="N41" i="16"/>
  <c r="N35" i="16"/>
  <c r="G26" i="16"/>
  <c r="G24" i="16"/>
  <c r="G43" i="16"/>
  <c r="G10" i="16"/>
  <c r="N45" i="16"/>
  <c r="N19" i="16"/>
  <c r="X49" i="16"/>
  <c r="AE49" i="16"/>
  <c r="AL49" i="16"/>
  <c r="N37" i="16"/>
  <c r="AG49" i="16"/>
  <c r="S49" i="16"/>
  <c r="U39" i="16" s="1"/>
  <c r="N21" i="16"/>
  <c r="G21" i="16"/>
  <c r="N24" i="16"/>
  <c r="G22" i="16"/>
  <c r="G33" i="16"/>
  <c r="N43" i="16"/>
  <c r="N27" i="16"/>
  <c r="G17" i="16"/>
  <c r="G13" i="16"/>
  <c r="G23" i="16"/>
  <c r="G36" i="16"/>
  <c r="N33" i="16"/>
  <c r="N11" i="16"/>
  <c r="N9" i="16"/>
  <c r="U31" i="16"/>
  <c r="N32" i="16"/>
  <c r="O32" i="16" s="1"/>
  <c r="N31" i="16"/>
  <c r="G28" i="16"/>
  <c r="G45" i="16"/>
  <c r="N46" i="16"/>
  <c r="N40" i="16"/>
  <c r="N34" i="16"/>
  <c r="N39" i="16"/>
  <c r="N30" i="16"/>
  <c r="N25" i="16"/>
  <c r="N26" i="16"/>
  <c r="N20" i="16"/>
  <c r="N10" i="16"/>
  <c r="N44" i="16"/>
  <c r="N13" i="16"/>
  <c r="G27" i="16"/>
  <c r="G47" i="16"/>
  <c r="G16" i="16"/>
  <c r="N23" i="16"/>
  <c r="AB45" i="16" l="1"/>
  <c r="U14" i="16"/>
  <c r="U25" i="16"/>
  <c r="U45" i="16"/>
  <c r="U41" i="16"/>
  <c r="U36" i="16"/>
  <c r="U28" i="16"/>
  <c r="U22" i="16"/>
  <c r="U24" i="16"/>
  <c r="U40" i="16"/>
  <c r="AB40" i="16"/>
  <c r="AP45" i="16"/>
  <c r="U27" i="16"/>
  <c r="U12" i="16"/>
  <c r="U11" i="16"/>
  <c r="U13" i="16"/>
  <c r="H43" i="16"/>
  <c r="O43" i="16" s="1"/>
  <c r="H45" i="16"/>
  <c r="O45" i="16" s="1"/>
  <c r="H22" i="16"/>
  <c r="O22" i="16" s="1"/>
  <c r="H11" i="16"/>
  <c r="H44" i="16"/>
  <c r="H34" i="16"/>
  <c r="H10" i="16"/>
  <c r="H40" i="16"/>
  <c r="H46" i="16"/>
  <c r="BN32" i="16"/>
  <c r="BN46" i="16"/>
  <c r="BN41" i="16"/>
  <c r="BN43" i="16"/>
  <c r="BN42" i="16"/>
  <c r="BN47" i="16"/>
  <c r="BN37" i="16"/>
  <c r="BN33" i="16"/>
  <c r="BN14" i="16"/>
  <c r="BN27" i="16"/>
  <c r="BN23" i="16"/>
  <c r="BN22" i="16"/>
  <c r="BN31" i="16"/>
  <c r="BN10" i="16"/>
  <c r="BN12" i="16"/>
  <c r="BN18" i="16"/>
  <c r="BN9" i="16"/>
  <c r="BN20" i="16"/>
  <c r="BN39" i="16"/>
  <c r="BN11" i="16"/>
  <c r="BN25" i="16"/>
  <c r="BN17" i="16"/>
  <c r="BN38" i="16"/>
  <c r="BN44" i="16"/>
  <c r="BN45" i="16"/>
  <c r="BN21" i="16"/>
  <c r="BN24" i="16"/>
  <c r="BN35" i="16"/>
  <c r="BN28" i="16"/>
  <c r="BN36" i="16"/>
  <c r="BN34" i="16"/>
  <c r="BN16" i="16"/>
  <c r="BN48" i="16"/>
  <c r="BN29" i="16"/>
  <c r="BN19" i="16"/>
  <c r="BN30" i="16"/>
  <c r="BN26" i="16"/>
  <c r="BN13" i="16"/>
  <c r="BN40" i="16"/>
  <c r="H42" i="16"/>
  <c r="H35" i="16"/>
  <c r="H33" i="16"/>
  <c r="H25" i="16"/>
  <c r="U33" i="16"/>
  <c r="H24" i="16"/>
  <c r="H18" i="16"/>
  <c r="H16" i="16"/>
  <c r="H36" i="16"/>
  <c r="H21" i="16"/>
  <c r="H26" i="16"/>
  <c r="U30" i="16"/>
  <c r="U43" i="16"/>
  <c r="H14" i="16"/>
  <c r="H30" i="16"/>
  <c r="H27" i="16"/>
  <c r="H13" i="16"/>
  <c r="U42" i="16"/>
  <c r="U46" i="16"/>
  <c r="U26" i="16"/>
  <c r="U10" i="16"/>
  <c r="H39" i="16"/>
  <c r="G49" i="16"/>
  <c r="H9" i="16"/>
  <c r="H37" i="16"/>
  <c r="AI43" i="16"/>
  <c r="AI42" i="16"/>
  <c r="AI48" i="16"/>
  <c r="AI37" i="16"/>
  <c r="AI35" i="16"/>
  <c r="AI36" i="16"/>
  <c r="AI31" i="16"/>
  <c r="AI29" i="16"/>
  <c r="AI19" i="16"/>
  <c r="AI12" i="16"/>
  <c r="AI40" i="16"/>
  <c r="AI22" i="16"/>
  <c r="AI17" i="16"/>
  <c r="AI38" i="16"/>
  <c r="AI23" i="16"/>
  <c r="AI28" i="16"/>
  <c r="AI14" i="16"/>
  <c r="AI44" i="16"/>
  <c r="AI18" i="16"/>
  <c r="AI26" i="16"/>
  <c r="AI45" i="16"/>
  <c r="AI24" i="16"/>
  <c r="AI25" i="16"/>
  <c r="AI10" i="16"/>
  <c r="AI47" i="16"/>
  <c r="AI41" i="16"/>
  <c r="AI39" i="16"/>
  <c r="AI32" i="16"/>
  <c r="AJ32" i="16" s="1"/>
  <c r="AI34" i="16"/>
  <c r="AI46" i="16"/>
  <c r="AI9" i="16"/>
  <c r="AI30" i="16"/>
  <c r="AI20" i="16"/>
  <c r="AI33" i="16"/>
  <c r="AI13" i="16"/>
  <c r="AI16" i="16"/>
  <c r="AI27" i="16"/>
  <c r="AI21" i="16"/>
  <c r="AI11" i="16"/>
  <c r="H41" i="16"/>
  <c r="H31" i="16"/>
  <c r="H17" i="16"/>
  <c r="U29" i="16"/>
  <c r="H38" i="16"/>
  <c r="H12" i="16"/>
  <c r="U19" i="16"/>
  <c r="AP40" i="16"/>
  <c r="AP44" i="16"/>
  <c r="AP36" i="16"/>
  <c r="AP29" i="16"/>
  <c r="AP33" i="16"/>
  <c r="AP16" i="16"/>
  <c r="AP10" i="16"/>
  <c r="AP20" i="16"/>
  <c r="AP12" i="16"/>
  <c r="AP13" i="16"/>
  <c r="AP25" i="16"/>
  <c r="AP43" i="16"/>
  <c r="AP14" i="16"/>
  <c r="AP22" i="16"/>
  <c r="AP26" i="16"/>
  <c r="AP21" i="16"/>
  <c r="AP18" i="16"/>
  <c r="AP47" i="16"/>
  <c r="AP19" i="16"/>
  <c r="AP31" i="16"/>
  <c r="AP11" i="16"/>
  <c r="AP24" i="16"/>
  <c r="AP28" i="16"/>
  <c r="AP27" i="16"/>
  <c r="AP32" i="16"/>
  <c r="AQ32" i="16" s="1"/>
  <c r="AP39" i="16"/>
  <c r="AP37" i="16"/>
  <c r="AP46" i="16"/>
  <c r="AP34" i="16"/>
  <c r="AP30" i="16"/>
  <c r="AP9" i="16"/>
  <c r="AP41" i="16"/>
  <c r="AP35" i="16"/>
  <c r="AP38" i="16"/>
  <c r="AP23" i="16"/>
  <c r="AP48" i="16"/>
  <c r="AP17" i="16"/>
  <c r="AP42" i="16"/>
  <c r="U18" i="16"/>
  <c r="H47" i="16"/>
  <c r="U44" i="16"/>
  <c r="U38" i="16"/>
  <c r="U32" i="16"/>
  <c r="V32" i="16" s="1"/>
  <c r="H19" i="16"/>
  <c r="U34" i="16"/>
  <c r="AB34" i="16"/>
  <c r="AB39" i="16"/>
  <c r="AB38" i="16"/>
  <c r="AB26" i="16"/>
  <c r="AB44" i="16"/>
  <c r="AB27" i="16"/>
  <c r="AB9" i="16"/>
  <c r="AB33" i="16"/>
  <c r="AB28" i="16"/>
  <c r="AB19" i="16"/>
  <c r="AB12" i="16"/>
  <c r="AB18" i="16"/>
  <c r="AB23" i="16"/>
  <c r="AB48" i="16"/>
  <c r="AB29" i="16"/>
  <c r="AB46" i="16"/>
  <c r="AB24" i="16"/>
  <c r="AB36" i="16"/>
  <c r="AB32" i="16"/>
  <c r="AC32" i="16" s="1"/>
  <c r="AB25" i="16"/>
  <c r="AB13" i="16"/>
  <c r="AB20" i="16"/>
  <c r="AB14" i="16"/>
  <c r="AB31" i="16"/>
  <c r="AB22" i="16"/>
  <c r="AB41" i="16"/>
  <c r="AB17" i="16"/>
  <c r="AB16" i="16"/>
  <c r="AB43" i="16"/>
  <c r="AC43" i="16" s="1"/>
  <c r="AB11" i="16"/>
  <c r="AB47" i="16"/>
  <c r="AB10" i="16"/>
  <c r="AB30" i="16"/>
  <c r="AB35" i="16"/>
  <c r="AB21" i="16"/>
  <c r="AB42" i="16"/>
  <c r="AB37" i="16"/>
  <c r="H29" i="16"/>
  <c r="H28" i="16"/>
  <c r="H23" i="16"/>
  <c r="H48" i="16"/>
  <c r="U17" i="16"/>
  <c r="H20" i="16"/>
  <c r="U48" i="16"/>
  <c r="U21" i="16"/>
  <c r="AQ22" i="16" l="1"/>
  <c r="AC22" i="16"/>
  <c r="AJ22" i="16"/>
  <c r="AQ45" i="16"/>
  <c r="V43" i="16"/>
  <c r="V45" i="16"/>
  <c r="AC45" i="16"/>
  <c r="AJ43" i="16"/>
  <c r="AQ43" i="16"/>
  <c r="AJ45" i="16"/>
  <c r="V22" i="16"/>
  <c r="BP29" i="16"/>
  <c r="BP17" i="16"/>
  <c r="BP27" i="16"/>
  <c r="O20" i="16"/>
  <c r="V20" i="16"/>
  <c r="AJ20" i="16"/>
  <c r="AQ20" i="16"/>
  <c r="AC20" i="16"/>
  <c r="AJ26" i="16"/>
  <c r="V26" i="16"/>
  <c r="O26" i="16"/>
  <c r="AQ26" i="16"/>
  <c r="AC26" i="16"/>
  <c r="BP48" i="16"/>
  <c r="V39" i="16"/>
  <c r="AJ39" i="16"/>
  <c r="AQ39" i="16"/>
  <c r="O39" i="16"/>
  <c r="AC39" i="16"/>
  <c r="AJ21" i="16"/>
  <c r="AC21" i="16"/>
  <c r="AQ21" i="16"/>
  <c r="V21" i="16"/>
  <c r="O21" i="16"/>
  <c r="BP16" i="16"/>
  <c r="BP11" i="16"/>
  <c r="BP33" i="16"/>
  <c r="H49" i="16"/>
  <c r="AC9" i="16"/>
  <c r="V9" i="16"/>
  <c r="AQ9" i="16"/>
  <c r="O9" i="16"/>
  <c r="AJ9" i="16"/>
  <c r="O10" i="16"/>
  <c r="AJ10" i="16"/>
  <c r="V10" i="16"/>
  <c r="AQ10" i="16"/>
  <c r="AC10" i="16"/>
  <c r="AQ47" i="16"/>
  <c r="AC47" i="16"/>
  <c r="V47" i="16"/>
  <c r="AJ47" i="16"/>
  <c r="O47" i="16"/>
  <c r="BP25" i="16"/>
  <c r="BP14" i="16"/>
  <c r="O48" i="16"/>
  <c r="V48" i="16"/>
  <c r="AC48" i="16"/>
  <c r="AQ48" i="16"/>
  <c r="AJ48" i="16"/>
  <c r="O36" i="16"/>
  <c r="AJ36" i="16"/>
  <c r="V36" i="16"/>
  <c r="AQ36" i="16"/>
  <c r="AC36" i="16"/>
  <c r="O25" i="16"/>
  <c r="AJ25" i="16"/>
  <c r="AC25" i="16"/>
  <c r="AQ25" i="16"/>
  <c r="V25" i="16"/>
  <c r="BP34" i="16"/>
  <c r="BP39" i="16"/>
  <c r="BP37" i="16"/>
  <c r="AC23" i="16"/>
  <c r="O23" i="16"/>
  <c r="AJ23" i="16"/>
  <c r="V23" i="16"/>
  <c r="AQ23" i="16"/>
  <c r="O16" i="16"/>
  <c r="AQ16" i="16"/>
  <c r="AC16" i="16"/>
  <c r="AJ16" i="16"/>
  <c r="V16" i="16"/>
  <c r="BP36" i="16"/>
  <c r="AQ18" i="16"/>
  <c r="AJ18" i="16"/>
  <c r="V18" i="16"/>
  <c r="AC18" i="16"/>
  <c r="O18" i="16"/>
  <c r="O35" i="16"/>
  <c r="AQ35" i="16"/>
  <c r="AC35" i="16"/>
  <c r="AJ35" i="16"/>
  <c r="V35" i="16"/>
  <c r="BP28" i="16"/>
  <c r="BP9" i="16"/>
  <c r="BP42" i="16"/>
  <c r="O29" i="16"/>
  <c r="V29" i="16"/>
  <c r="AQ29" i="16"/>
  <c r="AC29" i="16"/>
  <c r="AJ29" i="16"/>
  <c r="AC12" i="16"/>
  <c r="AJ12" i="16"/>
  <c r="AQ12" i="16"/>
  <c r="V12" i="16"/>
  <c r="O12" i="16"/>
  <c r="AQ24" i="16"/>
  <c r="AC24" i="16"/>
  <c r="O24" i="16"/>
  <c r="AJ24" i="16"/>
  <c r="V24" i="16"/>
  <c r="AQ42" i="16"/>
  <c r="AC42" i="16"/>
  <c r="O42" i="16"/>
  <c r="AJ42" i="16"/>
  <c r="V42" i="16"/>
  <c r="BP35" i="16"/>
  <c r="BP18" i="16"/>
  <c r="BP43" i="16"/>
  <c r="BP47" i="16"/>
  <c r="BP12" i="16"/>
  <c r="AC27" i="16"/>
  <c r="AJ27" i="16"/>
  <c r="AQ27" i="16"/>
  <c r="O27" i="16"/>
  <c r="V27" i="16"/>
  <c r="BP13" i="16"/>
  <c r="BP21" i="16"/>
  <c r="BP10" i="16"/>
  <c r="BP46" i="16"/>
  <c r="AJ34" i="16"/>
  <c r="V34" i="16"/>
  <c r="AC34" i="16"/>
  <c r="O34" i="16"/>
  <c r="AQ34" i="16"/>
  <c r="O33" i="16"/>
  <c r="AJ33" i="16"/>
  <c r="V33" i="16"/>
  <c r="AC33" i="16"/>
  <c r="AQ33" i="16"/>
  <c r="AQ28" i="16"/>
  <c r="AC28" i="16"/>
  <c r="V28" i="16"/>
  <c r="AJ28" i="16"/>
  <c r="O28" i="16"/>
  <c r="BP24" i="16"/>
  <c r="AJ19" i="16"/>
  <c r="AC19" i="16"/>
  <c r="O19" i="16"/>
  <c r="AQ19" i="16"/>
  <c r="V19" i="16"/>
  <c r="AJ17" i="16"/>
  <c r="AC17" i="16"/>
  <c r="O17" i="16"/>
  <c r="V17" i="16"/>
  <c r="AQ17" i="16"/>
  <c r="AJ30" i="16"/>
  <c r="O30" i="16"/>
  <c r="V30" i="16"/>
  <c r="AC30" i="16"/>
  <c r="AQ30" i="16"/>
  <c r="BP26" i="16"/>
  <c r="BP45" i="16"/>
  <c r="BP31" i="16"/>
  <c r="BP32" i="16"/>
  <c r="O44" i="16"/>
  <c r="AJ44" i="16"/>
  <c r="V44" i="16"/>
  <c r="AQ44" i="16"/>
  <c r="AC44" i="16"/>
  <c r="AJ41" i="16"/>
  <c r="O41" i="16"/>
  <c r="V41" i="16"/>
  <c r="AC41" i="16"/>
  <c r="AQ41" i="16"/>
  <c r="BP41" i="16"/>
  <c r="AQ31" i="16"/>
  <c r="O31" i="16"/>
  <c r="AJ31" i="16"/>
  <c r="V31" i="16"/>
  <c r="AC31" i="16"/>
  <c r="O14" i="16"/>
  <c r="AQ14" i="16"/>
  <c r="AC14" i="16"/>
  <c r="V14" i="16"/>
  <c r="AJ14" i="16"/>
  <c r="BP30" i="16"/>
  <c r="BP44" i="16"/>
  <c r="BP22" i="16"/>
  <c r="AC46" i="16"/>
  <c r="O46" i="16"/>
  <c r="AJ46" i="16"/>
  <c r="V46" i="16"/>
  <c r="AQ46" i="16"/>
  <c r="V11" i="16"/>
  <c r="AQ11" i="16"/>
  <c r="AC11" i="16"/>
  <c r="AJ11" i="16"/>
  <c r="O11" i="16"/>
  <c r="BP20" i="16"/>
  <c r="AQ38" i="16"/>
  <c r="AC38" i="16"/>
  <c r="AJ38" i="16"/>
  <c r="V38" i="16"/>
  <c r="O38" i="16"/>
  <c r="V13" i="16"/>
  <c r="AQ13" i="16"/>
  <c r="O13" i="16"/>
  <c r="AC13" i="16"/>
  <c r="AJ13" i="16"/>
  <c r="BP40" i="16"/>
  <c r="AJ37" i="16"/>
  <c r="AC37" i="16"/>
  <c r="O37" i="16"/>
  <c r="AQ37" i="16"/>
  <c r="V37" i="16"/>
  <c r="BP19" i="16"/>
  <c r="BP38" i="16"/>
  <c r="BP23" i="16"/>
  <c r="O40" i="16"/>
  <c r="AC40" i="16"/>
  <c r="AQ40" i="16"/>
  <c r="AJ40" i="16"/>
  <c r="V40" i="16"/>
  <c r="AK43" i="16" l="1"/>
  <c r="AW43" i="16" s="1"/>
  <c r="BC43" i="16" s="1"/>
  <c r="P22" i="16"/>
  <c r="AT22" i="16" s="1"/>
  <c r="AZ22" i="16" s="1"/>
  <c r="BE22" i="16" s="1"/>
  <c r="AK19" i="16"/>
  <c r="AW19" i="16" s="1"/>
  <c r="BC19" i="16" s="1"/>
  <c r="AR17" i="16"/>
  <c r="AX17" i="16" s="1"/>
  <c r="BD17" i="16" s="1"/>
  <c r="W13" i="16"/>
  <c r="AU13" i="16" s="1"/>
  <c r="BA13" i="16" s="1"/>
  <c r="AD40" i="16"/>
  <c r="AV40" i="16" s="1"/>
  <c r="BB40" i="16" s="1"/>
  <c r="AD32" i="16"/>
  <c r="AV32" i="16" s="1"/>
  <c r="BB32" i="16" s="1"/>
  <c r="W45" i="16"/>
  <c r="AU45" i="16" s="1"/>
  <c r="BA45" i="16" s="1"/>
  <c r="P46" i="16"/>
  <c r="AT46" i="16" s="1"/>
  <c r="AZ46" i="16" s="1"/>
  <c r="BP49" i="16"/>
  <c r="AR16" i="16"/>
  <c r="AX16" i="16" s="1"/>
  <c r="BD16" i="16" s="1"/>
  <c r="P11" i="16"/>
  <c r="AT11" i="16" s="1"/>
  <c r="W34" i="16"/>
  <c r="AU34" i="16" s="1"/>
  <c r="BA34" i="16" s="1"/>
  <c r="W24" i="16"/>
  <c r="AU24" i="16" s="1"/>
  <c r="BA24" i="16" s="1"/>
  <c r="P48" i="16"/>
  <c r="AT48" i="16" s="1"/>
  <c r="P21" i="16"/>
  <c r="AT21" i="16" s="1"/>
  <c r="P40" i="16"/>
  <c r="AT40" i="16" s="1"/>
  <c r="P37" i="16"/>
  <c r="AT37" i="16" s="1"/>
  <c r="AK11" i="16"/>
  <c r="AW11" i="16" s="1"/>
  <c r="BC11" i="16" s="1"/>
  <c r="AR14" i="16"/>
  <c r="AX14" i="16" s="1"/>
  <c r="BD14" i="16" s="1"/>
  <c r="AD44" i="16"/>
  <c r="AV44" i="16" s="1"/>
  <c r="BB44" i="16" s="1"/>
  <c r="W17" i="16"/>
  <c r="AU17" i="16" s="1"/>
  <c r="BA17" i="16" s="1"/>
  <c r="AD33" i="16"/>
  <c r="AV33" i="16" s="1"/>
  <c r="BB33" i="16" s="1"/>
  <c r="AK34" i="16"/>
  <c r="AW34" i="16" s="1"/>
  <c r="BC34" i="16" s="1"/>
  <c r="P27" i="16"/>
  <c r="AT27" i="16" s="1"/>
  <c r="AK24" i="16"/>
  <c r="AW24" i="16" s="1"/>
  <c r="BC24" i="16" s="1"/>
  <c r="AD18" i="16"/>
  <c r="AV18" i="16" s="1"/>
  <c r="BB18" i="16" s="1"/>
  <c r="P16" i="16"/>
  <c r="AT16" i="16" s="1"/>
  <c r="W36" i="16"/>
  <c r="AU36" i="16" s="1"/>
  <c r="BA36" i="16" s="1"/>
  <c r="V49" i="16"/>
  <c r="W9" i="16"/>
  <c r="W39" i="16"/>
  <c r="AU39" i="16" s="1"/>
  <c r="BA39" i="16" s="1"/>
  <c r="W26" i="16"/>
  <c r="AU26" i="16" s="1"/>
  <c r="BA26" i="16" s="1"/>
  <c r="AK12" i="16"/>
  <c r="AW12" i="16" s="1"/>
  <c r="BC12" i="16" s="1"/>
  <c r="P26" i="16"/>
  <c r="AT26" i="16" s="1"/>
  <c r="AR33" i="16"/>
  <c r="AX33" i="16" s="1"/>
  <c r="BD33" i="16" s="1"/>
  <c r="AD12" i="16"/>
  <c r="AV12" i="16" s="1"/>
  <c r="BB12" i="16" s="1"/>
  <c r="P18" i="16"/>
  <c r="AT18" i="16" s="1"/>
  <c r="AR36" i="16"/>
  <c r="AX36" i="16" s="1"/>
  <c r="BD36" i="16" s="1"/>
  <c r="AR47" i="16"/>
  <c r="AX47" i="16" s="1"/>
  <c r="BD47" i="16" s="1"/>
  <c r="AQ49" i="16"/>
  <c r="AR9" i="16"/>
  <c r="AK39" i="16"/>
  <c r="AW39" i="16" s="1"/>
  <c r="BC39" i="16" s="1"/>
  <c r="AD37" i="16"/>
  <c r="AV37" i="16" s="1"/>
  <c r="BB37" i="16" s="1"/>
  <c r="P38" i="16"/>
  <c r="AT38" i="16" s="1"/>
  <c r="P14" i="16"/>
  <c r="AT14" i="16" s="1"/>
  <c r="AR44" i="16"/>
  <c r="AX44" i="16" s="1"/>
  <c r="BD44" i="16" s="1"/>
  <c r="W33" i="16"/>
  <c r="AU33" i="16" s="1"/>
  <c r="BA33" i="16" s="1"/>
  <c r="AR27" i="16"/>
  <c r="AX27" i="16" s="1"/>
  <c r="BD27" i="16" s="1"/>
  <c r="P24" i="16"/>
  <c r="AT24" i="16" s="1"/>
  <c r="AK29" i="16"/>
  <c r="AW29" i="16" s="1"/>
  <c r="BC29" i="16" s="1"/>
  <c r="W18" i="16"/>
  <c r="AU18" i="16" s="1"/>
  <c r="BA18" i="16" s="1"/>
  <c r="AK36" i="16"/>
  <c r="AW36" i="16" s="1"/>
  <c r="BC36" i="16" s="1"/>
  <c r="AC49" i="16"/>
  <c r="AD9" i="16"/>
  <c r="W21" i="16"/>
  <c r="AU21" i="16" s="1"/>
  <c r="BA21" i="16" s="1"/>
  <c r="AK22" i="16"/>
  <c r="AW22" i="16" s="1"/>
  <c r="BC22" i="16" s="1"/>
  <c r="AK26" i="16"/>
  <c r="AW26" i="16" s="1"/>
  <c r="BC26" i="16" s="1"/>
  <c r="W48" i="16"/>
  <c r="AU48" i="16" s="1"/>
  <c r="BA48" i="16" s="1"/>
  <c r="W27" i="16"/>
  <c r="AU27" i="16" s="1"/>
  <c r="BA27" i="16" s="1"/>
  <c r="AK37" i="16"/>
  <c r="AW37" i="16" s="1"/>
  <c r="BC37" i="16" s="1"/>
  <c r="W38" i="16"/>
  <c r="AU38" i="16" s="1"/>
  <c r="BA38" i="16" s="1"/>
  <c r="AD11" i="16"/>
  <c r="AV11" i="16" s="1"/>
  <c r="BB11" i="16" s="1"/>
  <c r="P17" i="16"/>
  <c r="AT17" i="16" s="1"/>
  <c r="AK32" i="16"/>
  <c r="AW32" i="16" s="1"/>
  <c r="BC32" i="16" s="1"/>
  <c r="AK33" i="16"/>
  <c r="AW33" i="16" s="1"/>
  <c r="BC33" i="16" s="1"/>
  <c r="AK27" i="16"/>
  <c r="AW27" i="16" s="1"/>
  <c r="BC27" i="16" s="1"/>
  <c r="AD29" i="16"/>
  <c r="AV29" i="16" s="1"/>
  <c r="BB29" i="16" s="1"/>
  <c r="AK18" i="16"/>
  <c r="AW18" i="16" s="1"/>
  <c r="BC18" i="16" s="1"/>
  <c r="AR23" i="16"/>
  <c r="AX23" i="16" s="1"/>
  <c r="BD23" i="16" s="1"/>
  <c r="AD10" i="16"/>
  <c r="AV10" i="16" s="1"/>
  <c r="BB10" i="16" s="1"/>
  <c r="AR21" i="16"/>
  <c r="AX21" i="16" s="1"/>
  <c r="BD21" i="16" s="1"/>
  <c r="AD47" i="16"/>
  <c r="AV47" i="16" s="1"/>
  <c r="BB47" i="16" s="1"/>
  <c r="AK38" i="16"/>
  <c r="AW38" i="16" s="1"/>
  <c r="BC38" i="16" s="1"/>
  <c r="AR11" i="16"/>
  <c r="AX11" i="16" s="1"/>
  <c r="BD11" i="16" s="1"/>
  <c r="AD31" i="16"/>
  <c r="AV31" i="16" s="1"/>
  <c r="BB31" i="16" s="1"/>
  <c r="W44" i="16"/>
  <c r="AU44" i="16" s="1"/>
  <c r="BA44" i="16" s="1"/>
  <c r="AR30" i="16"/>
  <c r="AX30" i="16" s="1"/>
  <c r="BD30" i="16" s="1"/>
  <c r="AD17" i="16"/>
  <c r="AV17" i="16" s="1"/>
  <c r="BB17" i="16" s="1"/>
  <c r="AD24" i="16"/>
  <c r="AV24" i="16" s="1"/>
  <c r="BB24" i="16" s="1"/>
  <c r="AR29" i="16"/>
  <c r="AX29" i="16" s="1"/>
  <c r="BD29" i="16" s="1"/>
  <c r="W35" i="16"/>
  <c r="AU35" i="16" s="1"/>
  <c r="BA35" i="16" s="1"/>
  <c r="AR18" i="16"/>
  <c r="AX18" i="16" s="1"/>
  <c r="BD18" i="16" s="1"/>
  <c r="W23" i="16"/>
  <c r="AU23" i="16" s="1"/>
  <c r="BA23" i="16" s="1"/>
  <c r="W25" i="16"/>
  <c r="AU25" i="16" s="1"/>
  <c r="BA25" i="16" s="1"/>
  <c r="P36" i="16"/>
  <c r="AT36" i="16" s="1"/>
  <c r="AR10" i="16"/>
  <c r="AX10" i="16" s="1"/>
  <c r="BD10" i="16" s="1"/>
  <c r="AD21" i="16"/>
  <c r="AV21" i="16" s="1"/>
  <c r="BB21" i="16" s="1"/>
  <c r="AD20" i="16"/>
  <c r="AV20" i="16" s="1"/>
  <c r="BB20" i="16" s="1"/>
  <c r="AR24" i="16"/>
  <c r="AX24" i="16" s="1"/>
  <c r="BD24" i="16" s="1"/>
  <c r="AK23" i="16"/>
  <c r="AW23" i="16" s="1"/>
  <c r="BC23" i="16" s="1"/>
  <c r="AK45" i="16"/>
  <c r="AW45" i="16" s="1"/>
  <c r="BC45" i="16" s="1"/>
  <c r="W10" i="16"/>
  <c r="AU10" i="16" s="1"/>
  <c r="BA10" i="16" s="1"/>
  <c r="W43" i="16"/>
  <c r="AU43" i="16" s="1"/>
  <c r="BA43" i="16" s="1"/>
  <c r="AR20" i="16"/>
  <c r="AX20" i="16" s="1"/>
  <c r="BD20" i="16" s="1"/>
  <c r="AD36" i="16"/>
  <c r="AV36" i="16" s="1"/>
  <c r="BB36" i="16" s="1"/>
  <c r="AD46" i="16"/>
  <c r="AV46" i="16" s="1"/>
  <c r="BB46" i="16" s="1"/>
  <c r="AD38" i="16"/>
  <c r="AV38" i="16" s="1"/>
  <c r="BB38" i="16" s="1"/>
  <c r="AD30" i="16"/>
  <c r="AV30" i="16" s="1"/>
  <c r="BB30" i="16" s="1"/>
  <c r="AK13" i="16"/>
  <c r="AW13" i="16" s="1"/>
  <c r="BC13" i="16" s="1"/>
  <c r="W31" i="16"/>
  <c r="AU31" i="16" s="1"/>
  <c r="BA31" i="16" s="1"/>
  <c r="AD41" i="16"/>
  <c r="AV41" i="16" s="1"/>
  <c r="BB41" i="16" s="1"/>
  <c r="P44" i="16"/>
  <c r="AT44" i="16" s="1"/>
  <c r="P12" i="16"/>
  <c r="AT12" i="16" s="1"/>
  <c r="AK35" i="16"/>
  <c r="AW35" i="16" s="1"/>
  <c r="BC35" i="16" s="1"/>
  <c r="AD25" i="16"/>
  <c r="AV25" i="16" s="1"/>
  <c r="BB25" i="16" s="1"/>
  <c r="AK10" i="16"/>
  <c r="AW10" i="16" s="1"/>
  <c r="BC10" i="16" s="1"/>
  <c r="AK21" i="16"/>
  <c r="AW21" i="16" s="1"/>
  <c r="BC21" i="16" s="1"/>
  <c r="AK20" i="16"/>
  <c r="AW20" i="16" s="1"/>
  <c r="BC20" i="16" s="1"/>
  <c r="AD14" i="16"/>
  <c r="AV14" i="16" s="1"/>
  <c r="BB14" i="16" s="1"/>
  <c r="W11" i="16"/>
  <c r="AU11" i="16" s="1"/>
  <c r="BA11" i="16" s="1"/>
  <c r="AK44" i="16"/>
  <c r="AW44" i="16" s="1"/>
  <c r="BC44" i="16" s="1"/>
  <c r="AD13" i="16"/>
  <c r="AV13" i="16" s="1"/>
  <c r="BB13" i="16" s="1"/>
  <c r="AR38" i="16"/>
  <c r="AX38" i="16" s="1"/>
  <c r="BD38" i="16" s="1"/>
  <c r="AR46" i="16"/>
  <c r="AX46" i="16" s="1"/>
  <c r="BD46" i="16" s="1"/>
  <c r="AR45" i="16"/>
  <c r="AX45" i="16" s="1"/>
  <c r="BD45" i="16" s="1"/>
  <c r="AK31" i="16"/>
  <c r="AW31" i="16" s="1"/>
  <c r="BC31" i="16" s="1"/>
  <c r="W41" i="16"/>
  <c r="AU41" i="16" s="1"/>
  <c r="BA41" i="16" s="1"/>
  <c r="W19" i="16"/>
  <c r="AU19" i="16" s="1"/>
  <c r="BA19" i="16" s="1"/>
  <c r="AK28" i="16"/>
  <c r="AW28" i="16" s="1"/>
  <c r="BC28" i="16" s="1"/>
  <c r="AK42" i="16"/>
  <c r="AW42" i="16" s="1"/>
  <c r="BC42" i="16" s="1"/>
  <c r="P29" i="16"/>
  <c r="AT29" i="16" s="1"/>
  <c r="AD35" i="16"/>
  <c r="AV35" i="16" s="1"/>
  <c r="BB35" i="16" s="1"/>
  <c r="P23" i="16"/>
  <c r="AT23" i="16" s="1"/>
  <c r="AK48" i="16"/>
  <c r="AW48" i="16" s="1"/>
  <c r="BC48" i="16" s="1"/>
  <c r="P47" i="16"/>
  <c r="AT47" i="16" s="1"/>
  <c r="AD22" i="16"/>
  <c r="AV22" i="16" s="1"/>
  <c r="BB22" i="16" s="1"/>
  <c r="O49" i="16"/>
  <c r="P9" i="16"/>
  <c r="P32" i="16"/>
  <c r="AT32" i="16" s="1"/>
  <c r="AR37" i="16"/>
  <c r="AX37" i="16" s="1"/>
  <c r="BD37" i="16" s="1"/>
  <c r="P28" i="16"/>
  <c r="AT28" i="16" s="1"/>
  <c r="W29" i="16"/>
  <c r="AU29" i="16" s="1"/>
  <c r="BA29" i="16" s="1"/>
  <c r="W40" i="16"/>
  <c r="AU40" i="16" s="1"/>
  <c r="BA40" i="16" s="1"/>
  <c r="AD45" i="16"/>
  <c r="AV45" i="16" s="1"/>
  <c r="BB45" i="16" s="1"/>
  <c r="W46" i="16"/>
  <c r="AU46" i="16" s="1"/>
  <c r="BA46" i="16" s="1"/>
  <c r="P31" i="16"/>
  <c r="AT31" i="16" s="1"/>
  <c r="W30" i="16"/>
  <c r="AU30" i="16" s="1"/>
  <c r="BA30" i="16" s="1"/>
  <c r="AR19" i="16"/>
  <c r="AX19" i="16" s="1"/>
  <c r="BD19" i="16" s="1"/>
  <c r="W28" i="16"/>
  <c r="AU28" i="16" s="1"/>
  <c r="BA28" i="16" s="1"/>
  <c r="P42" i="16"/>
  <c r="AT42" i="16" s="1"/>
  <c r="W12" i="16"/>
  <c r="AU12" i="16" s="1"/>
  <c r="BA12" i="16" s="1"/>
  <c r="P43" i="16"/>
  <c r="AT43" i="16" s="1"/>
  <c r="AR35" i="16"/>
  <c r="AX35" i="16" s="1"/>
  <c r="BD35" i="16" s="1"/>
  <c r="W16" i="16"/>
  <c r="AU16" i="16" s="1"/>
  <c r="BA16" i="16" s="1"/>
  <c r="AD23" i="16"/>
  <c r="AV23" i="16" s="1"/>
  <c r="BB23" i="16" s="1"/>
  <c r="AK25" i="16"/>
  <c r="AW25" i="16" s="1"/>
  <c r="BC25" i="16" s="1"/>
  <c r="AR48" i="16"/>
  <c r="AX48" i="16" s="1"/>
  <c r="BD48" i="16" s="1"/>
  <c r="P10" i="16"/>
  <c r="AT10" i="16" s="1"/>
  <c r="AD39" i="16"/>
  <c r="AV39" i="16" s="1"/>
  <c r="BB39" i="16" s="1"/>
  <c r="W20" i="16"/>
  <c r="AU20" i="16" s="1"/>
  <c r="BA20" i="16" s="1"/>
  <c r="AR43" i="16"/>
  <c r="AX43" i="16" s="1"/>
  <c r="BD43" i="16" s="1"/>
  <c r="AD34" i="16"/>
  <c r="AV34" i="16" s="1"/>
  <c r="BB34" i="16" s="1"/>
  <c r="AK17" i="16"/>
  <c r="AW17" i="16" s="1"/>
  <c r="BC17" i="16" s="1"/>
  <c r="AD27" i="16"/>
  <c r="AV27" i="16" s="1"/>
  <c r="BB27" i="16" s="1"/>
  <c r="AR25" i="16"/>
  <c r="AX25" i="16" s="1"/>
  <c r="BD25" i="16" s="1"/>
  <c r="AK40" i="16"/>
  <c r="AW40" i="16" s="1"/>
  <c r="BC40" i="16" s="1"/>
  <c r="P13" i="16"/>
  <c r="AT13" i="16" s="1"/>
  <c r="AK46" i="16"/>
  <c r="AW46" i="16" s="1"/>
  <c r="BC46" i="16" s="1"/>
  <c r="AK14" i="16"/>
  <c r="AW14" i="16" s="1"/>
  <c r="BC14" i="16" s="1"/>
  <c r="AR31" i="16"/>
  <c r="AX31" i="16" s="1"/>
  <c r="BD31" i="16" s="1"/>
  <c r="P41" i="16"/>
  <c r="AT41" i="16" s="1"/>
  <c r="P30" i="16"/>
  <c r="AT30" i="16" s="1"/>
  <c r="P19" i="16"/>
  <c r="AT19" i="16" s="1"/>
  <c r="AD28" i="16"/>
  <c r="AV28" i="16" s="1"/>
  <c r="BB28" i="16" s="1"/>
  <c r="AR34" i="16"/>
  <c r="AX34" i="16" s="1"/>
  <c r="BD34" i="16" s="1"/>
  <c r="AD42" i="16"/>
  <c r="AV42" i="16" s="1"/>
  <c r="BB42" i="16" s="1"/>
  <c r="P35" i="16"/>
  <c r="AT35" i="16" s="1"/>
  <c r="AK16" i="16"/>
  <c r="AW16" i="16" s="1"/>
  <c r="BC16" i="16" s="1"/>
  <c r="P25" i="16"/>
  <c r="AT25" i="16" s="1"/>
  <c r="AK47" i="16"/>
  <c r="AW47" i="16" s="1"/>
  <c r="BC47" i="16" s="1"/>
  <c r="P39" i="16"/>
  <c r="AT39" i="16" s="1"/>
  <c r="AD26" i="16"/>
  <c r="AV26" i="16" s="1"/>
  <c r="BB26" i="16" s="1"/>
  <c r="P20" i="16"/>
  <c r="AT20" i="16" s="1"/>
  <c r="AR22" i="16"/>
  <c r="AX22" i="16" s="1"/>
  <c r="BD22" i="16" s="1"/>
  <c r="AR41" i="16"/>
  <c r="AX41" i="16" s="1"/>
  <c r="BD41" i="16" s="1"/>
  <c r="P33" i="16"/>
  <c r="AT33" i="16" s="1"/>
  <c r="W42" i="16"/>
  <c r="AU42" i="16" s="1"/>
  <c r="BA42" i="16" s="1"/>
  <c r="W22" i="16"/>
  <c r="AU22" i="16" s="1"/>
  <c r="BA22" i="16" s="1"/>
  <c r="AR40" i="16"/>
  <c r="AX40" i="16" s="1"/>
  <c r="BD40" i="16" s="1"/>
  <c r="W37" i="16"/>
  <c r="AU37" i="16" s="1"/>
  <c r="BA37" i="16" s="1"/>
  <c r="AR13" i="16"/>
  <c r="AX13" i="16" s="1"/>
  <c r="BD13" i="16" s="1"/>
  <c r="AR32" i="16"/>
  <c r="AX32" i="16" s="1"/>
  <c r="BD32" i="16" s="1"/>
  <c r="W14" i="16"/>
  <c r="AU14" i="16" s="1"/>
  <c r="BA14" i="16" s="1"/>
  <c r="W32" i="16"/>
  <c r="AU32" i="16" s="1"/>
  <c r="BA32" i="16" s="1"/>
  <c r="AK41" i="16"/>
  <c r="AW41" i="16" s="1"/>
  <c r="BC41" i="16" s="1"/>
  <c r="AK30" i="16"/>
  <c r="AW30" i="16" s="1"/>
  <c r="BC30" i="16" s="1"/>
  <c r="AD19" i="16"/>
  <c r="AV19" i="16" s="1"/>
  <c r="BB19" i="16" s="1"/>
  <c r="AR28" i="16"/>
  <c r="AX28" i="16" s="1"/>
  <c r="BD28" i="16" s="1"/>
  <c r="P34" i="16"/>
  <c r="AT34" i="16" s="1"/>
  <c r="P45" i="16"/>
  <c r="AT45" i="16" s="1"/>
  <c r="AR42" i="16"/>
  <c r="AX42" i="16" s="1"/>
  <c r="BD42" i="16" s="1"/>
  <c r="AR12" i="16"/>
  <c r="AX12" i="16" s="1"/>
  <c r="BD12" i="16" s="1"/>
  <c r="AD16" i="16"/>
  <c r="AV16" i="16" s="1"/>
  <c r="BB16" i="16" s="1"/>
  <c r="AD48" i="16"/>
  <c r="AV48" i="16" s="1"/>
  <c r="BB48" i="16" s="1"/>
  <c r="W47" i="16"/>
  <c r="AU47" i="16" s="1"/>
  <c r="BA47" i="16" s="1"/>
  <c r="AJ49" i="16"/>
  <c r="AK9" i="16"/>
  <c r="AR39" i="16"/>
  <c r="AX39" i="16" s="1"/>
  <c r="BD39" i="16" s="1"/>
  <c r="AR26" i="16"/>
  <c r="AX26" i="16" s="1"/>
  <c r="BD26" i="16" s="1"/>
  <c r="AD43" i="16"/>
  <c r="AV43" i="16" s="1"/>
  <c r="BB43" i="16" s="1"/>
  <c r="BE46" i="16" l="1"/>
  <c r="AY46" i="16"/>
  <c r="AZ17" i="16"/>
  <c r="BE17" i="16" s="1"/>
  <c r="AY17" i="16"/>
  <c r="AZ38" i="16"/>
  <c r="BE38" i="16" s="1"/>
  <c r="AY38" i="16"/>
  <c r="AZ10" i="16"/>
  <c r="BE10" i="16" s="1"/>
  <c r="AY10" i="16"/>
  <c r="BP50" i="16"/>
  <c r="AZ31" i="16"/>
  <c r="BE31" i="16" s="1"/>
  <c r="AY31" i="16"/>
  <c r="AZ37" i="16"/>
  <c r="BE37" i="16" s="1"/>
  <c r="AY37" i="16"/>
  <c r="AZ30" i="16"/>
  <c r="BE30" i="16" s="1"/>
  <c r="AY30" i="16"/>
  <c r="AZ12" i="16"/>
  <c r="BE12" i="16" s="1"/>
  <c r="AY12" i="16"/>
  <c r="AD49" i="16"/>
  <c r="AV9" i="16"/>
  <c r="AR49" i="16"/>
  <c r="AX9" i="16"/>
  <c r="AZ27" i="16"/>
  <c r="BE27" i="16" s="1"/>
  <c r="AY27" i="16"/>
  <c r="AZ40" i="16"/>
  <c r="BE40" i="16" s="1"/>
  <c r="AY40" i="16"/>
  <c r="AZ41" i="16"/>
  <c r="BE41" i="16" s="1"/>
  <c r="AY41" i="16"/>
  <c r="AZ47" i="16"/>
  <c r="BE47" i="16" s="1"/>
  <c r="AY47" i="16"/>
  <c r="AZ24" i="16"/>
  <c r="BE24" i="16" s="1"/>
  <c r="AY24" i="16"/>
  <c r="W49" i="16"/>
  <c r="AU9" i="16"/>
  <c r="AZ28" i="16"/>
  <c r="BE28" i="16" s="1"/>
  <c r="AY28" i="16"/>
  <c r="AZ32" i="16"/>
  <c r="BE32" i="16" s="1"/>
  <c r="AY32" i="16"/>
  <c r="AZ26" i="16"/>
  <c r="BE26" i="16" s="1"/>
  <c r="AY26" i="16"/>
  <c r="AZ21" i="16"/>
  <c r="BE21" i="16" s="1"/>
  <c r="AY21" i="16"/>
  <c r="AZ33" i="16"/>
  <c r="BE33" i="16" s="1"/>
  <c r="AY33" i="16"/>
  <c r="AZ19" i="16"/>
  <c r="BE19" i="16" s="1"/>
  <c r="AY19" i="16"/>
  <c r="AZ25" i="16"/>
  <c r="BE25" i="16" s="1"/>
  <c r="AY25" i="16"/>
  <c r="P49" i="16"/>
  <c r="AT9" i="16"/>
  <c r="AZ23" i="16"/>
  <c r="BE23" i="16" s="1"/>
  <c r="AY23" i="16"/>
  <c r="AZ36" i="16"/>
  <c r="BE36" i="16" s="1"/>
  <c r="AY36" i="16"/>
  <c r="AZ48" i="16"/>
  <c r="BE48" i="16" s="1"/>
  <c r="AY48" i="16"/>
  <c r="AZ43" i="16"/>
  <c r="BE43" i="16" s="1"/>
  <c r="AY43" i="16"/>
  <c r="AZ18" i="16"/>
  <c r="BE18" i="16" s="1"/>
  <c r="AY18" i="16"/>
  <c r="AZ35" i="16"/>
  <c r="BE35" i="16" s="1"/>
  <c r="AY35" i="16"/>
  <c r="AZ13" i="16"/>
  <c r="BE13" i="16" s="1"/>
  <c r="AY13" i="16"/>
  <c r="AZ16" i="16"/>
  <c r="BE16" i="16" s="1"/>
  <c r="AY16" i="16"/>
  <c r="AK49" i="16"/>
  <c r="AW9" i="16"/>
  <c r="AZ20" i="16"/>
  <c r="BE20" i="16" s="1"/>
  <c r="AY20" i="16"/>
  <c r="AZ42" i="16"/>
  <c r="BE42" i="16" s="1"/>
  <c r="AY42" i="16"/>
  <c r="AZ44" i="16"/>
  <c r="BE44" i="16" s="1"/>
  <c r="AY44" i="16"/>
  <c r="AZ45" i="16"/>
  <c r="BE45" i="16" s="1"/>
  <c r="AY45" i="16"/>
  <c r="AZ14" i="16"/>
  <c r="BE14" i="16" s="1"/>
  <c r="AY14" i="16"/>
  <c r="AZ11" i="16"/>
  <c r="BE11" i="16" s="1"/>
  <c r="AY11" i="16"/>
  <c r="AY22" i="16"/>
  <c r="AZ34" i="16"/>
  <c r="BE34" i="16" s="1"/>
  <c r="AY34" i="16"/>
  <c r="AZ39" i="16"/>
  <c r="BE39" i="16" s="1"/>
  <c r="AY39" i="16"/>
  <c r="AZ29" i="16"/>
  <c r="BE29" i="16" s="1"/>
  <c r="AY29" i="16"/>
  <c r="BI23" i="16" l="1"/>
  <c r="BJ23" i="16" s="1"/>
  <c r="BH23" i="16"/>
  <c r="BI11" i="16"/>
  <c r="BJ11" i="16" s="1"/>
  <c r="BH11" i="16"/>
  <c r="BH26" i="16"/>
  <c r="BI26" i="16"/>
  <c r="BJ26" i="16" s="1"/>
  <c r="BI20" i="16"/>
  <c r="BJ20" i="16" s="1"/>
  <c r="BH20" i="16"/>
  <c r="BI37" i="16"/>
  <c r="BJ37" i="16" s="1"/>
  <c r="BH37" i="16"/>
  <c r="BI42" i="16"/>
  <c r="BJ42" i="16" s="1"/>
  <c r="BH42" i="16"/>
  <c r="BI32" i="16"/>
  <c r="BJ32" i="16" s="1"/>
  <c r="BH32" i="16"/>
  <c r="BH25" i="16"/>
  <c r="BI25" i="16"/>
  <c r="BJ25" i="16" s="1"/>
  <c r="BI43" i="16"/>
  <c r="BJ43" i="16" s="1"/>
  <c r="BH43" i="16"/>
  <c r="BH22" i="16"/>
  <c r="BI22" i="16"/>
  <c r="BJ22" i="16" s="1"/>
  <c r="BH29" i="16"/>
  <c r="BI29" i="16"/>
  <c r="BJ29" i="16" s="1"/>
  <c r="BI38" i="16"/>
  <c r="BJ38" i="16" s="1"/>
  <c r="BH38" i="16"/>
  <c r="BI39" i="16"/>
  <c r="BJ39" i="16" s="1"/>
  <c r="BH39" i="16"/>
  <c r="BH18" i="16"/>
  <c r="BI18" i="16"/>
  <c r="BJ18" i="16" s="1"/>
  <c r="BI10" i="16"/>
  <c r="BJ10" i="16" s="1"/>
  <c r="BH10" i="16"/>
  <c r="BH28" i="16"/>
  <c r="BI28" i="16"/>
  <c r="BJ28" i="16" s="1"/>
  <c r="BI16" i="16"/>
  <c r="BJ16" i="16" s="1"/>
  <c r="BH16" i="16"/>
  <c r="BI33" i="16"/>
  <c r="BJ33" i="16" s="1"/>
  <c r="BH33" i="16"/>
  <c r="BI24" i="16"/>
  <c r="BJ24" i="16" s="1"/>
  <c r="BH24" i="16"/>
  <c r="BH41" i="16"/>
  <c r="BI41" i="16"/>
  <c r="BJ41" i="16" s="1"/>
  <c r="BH30" i="16"/>
  <c r="BI30" i="16"/>
  <c r="BJ30" i="16" s="1"/>
  <c r="BH45" i="16"/>
  <c r="BI45" i="16"/>
  <c r="BJ45" i="16" s="1"/>
  <c r="BH27" i="16"/>
  <c r="BI27" i="16"/>
  <c r="BJ27" i="16" s="1"/>
  <c r="BO27" i="16" s="1"/>
  <c r="BI31" i="16"/>
  <c r="BJ31" i="16" s="1"/>
  <c r="BH31" i="16"/>
  <c r="BI13" i="16"/>
  <c r="BJ13" i="16" s="1"/>
  <c r="BH13" i="16"/>
  <c r="BI34" i="16"/>
  <c r="BJ34" i="16" s="1"/>
  <c r="BH34" i="16"/>
  <c r="BI36" i="16"/>
  <c r="BJ36" i="16" s="1"/>
  <c r="BH36" i="16"/>
  <c r="BH12" i="16"/>
  <c r="BI12" i="16"/>
  <c r="BJ12" i="16" s="1"/>
  <c r="BI14" i="16"/>
  <c r="BJ14" i="16" s="1"/>
  <c r="BH14" i="16"/>
  <c r="BI40" i="16"/>
  <c r="BJ40" i="16" s="1"/>
  <c r="BH40" i="16"/>
  <c r="BH19" i="16"/>
  <c r="BI19" i="16"/>
  <c r="BJ19" i="16" s="1"/>
  <c r="BI48" i="16"/>
  <c r="BJ48" i="16" s="1"/>
  <c r="BH48" i="16"/>
  <c r="BH17" i="16"/>
  <c r="BI17" i="16"/>
  <c r="BJ17" i="16" s="1"/>
  <c r="BO17" i="16" s="1"/>
  <c r="BQ17" i="16" s="1"/>
  <c r="BI44" i="16"/>
  <c r="BJ44" i="16" s="1"/>
  <c r="BH44" i="16"/>
  <c r="BH35" i="16"/>
  <c r="BI35" i="16"/>
  <c r="BJ35" i="16" s="1"/>
  <c r="BO35" i="16" s="1"/>
  <c r="BI21" i="16"/>
  <c r="BJ21" i="16" s="1"/>
  <c r="BH21" i="16"/>
  <c r="BH47" i="16"/>
  <c r="BI47" i="16"/>
  <c r="BJ47" i="16" s="1"/>
  <c r="BH46" i="16"/>
  <c r="BI46" i="16"/>
  <c r="BJ46" i="16" s="1"/>
  <c r="BC9" i="16"/>
  <c r="AW49" i="16"/>
  <c r="BC49" i="16" s="1"/>
  <c r="AU49" i="16"/>
  <c r="BA49" i="16" s="1"/>
  <c r="BA9" i="16"/>
  <c r="AX49" i="16"/>
  <c r="BD49" i="16" s="1"/>
  <c r="BD9" i="16"/>
  <c r="AT49" i="16"/>
  <c r="AZ49" i="16" s="1"/>
  <c r="AZ9" i="16"/>
  <c r="AY9" i="16"/>
  <c r="AV49" i="16"/>
  <c r="BB49" i="16" s="1"/>
  <c r="BB9" i="16"/>
  <c r="BE9" i="16" l="1"/>
  <c r="BO30" i="16"/>
  <c r="BQ30" i="16" s="1"/>
  <c r="BH9" i="16"/>
  <c r="BO26" i="16"/>
  <c r="BQ26" i="16" s="1"/>
  <c r="BO12" i="16"/>
  <c r="BQ12" i="16" s="1"/>
  <c r="BO45" i="16"/>
  <c r="BQ45" i="16" s="1"/>
  <c r="BO32" i="16"/>
  <c r="BQ32" i="16" s="1"/>
  <c r="BO28" i="16"/>
  <c r="BQ28" i="16" s="1"/>
  <c r="BO22" i="16"/>
  <c r="BQ22" i="16" s="1"/>
  <c r="BO39" i="16"/>
  <c r="BQ39" i="16" s="1"/>
  <c r="BO13" i="16"/>
  <c r="BQ13" i="16" s="1"/>
  <c r="BO24" i="16"/>
  <c r="BQ24" i="16" s="1"/>
  <c r="BO23" i="16"/>
  <c r="BQ23" i="16" s="1"/>
  <c r="BO29" i="16"/>
  <c r="BQ35" i="16"/>
  <c r="BQ27" i="16"/>
  <c r="BO33" i="16"/>
  <c r="BO34" i="16"/>
  <c r="BO11" i="16"/>
  <c r="BO48" i="16"/>
  <c r="BO42" i="16"/>
  <c r="BO37" i="16"/>
  <c r="BO38" i="16"/>
  <c r="BO16" i="16"/>
  <c r="BO21" i="16"/>
  <c r="BO10" i="16"/>
  <c r="BO43" i="16"/>
  <c r="BO44" i="16"/>
  <c r="BO36" i="16"/>
  <c r="BO46" i="16"/>
  <c r="BO41" i="16"/>
  <c r="BO18" i="16"/>
  <c r="BO25" i="16"/>
  <c r="BO40" i="16"/>
  <c r="BO14" i="16"/>
  <c r="BO20" i="16"/>
  <c r="BO31" i="16"/>
  <c r="BO47" i="16"/>
  <c r="BO19" i="16"/>
  <c r="BI9" i="16" l="1"/>
  <c r="BJ9" i="16" s="1"/>
  <c r="BQ33" i="16"/>
  <c r="BQ48" i="16"/>
  <c r="BQ14" i="16"/>
  <c r="BE49" i="16"/>
  <c r="BQ37" i="16"/>
  <c r="BQ43" i="16"/>
  <c r="BQ38" i="16"/>
  <c r="BQ40" i="16"/>
  <c r="BQ41" i="16"/>
  <c r="BQ44" i="16"/>
  <c r="BQ47" i="16"/>
  <c r="BQ11" i="16"/>
  <c r="BQ25" i="16"/>
  <c r="BQ42" i="16"/>
  <c r="BQ36" i="16"/>
  <c r="BQ19" i="16"/>
  <c r="BQ34" i="16"/>
  <c r="BQ18" i="16"/>
  <c r="BQ46" i="16"/>
  <c r="BQ10" i="16"/>
  <c r="BQ31" i="16"/>
  <c r="BQ21" i="16"/>
  <c r="BQ20" i="16"/>
  <c r="BQ16" i="16"/>
  <c r="BQ29" i="16"/>
  <c r="BI49" i="16" l="1"/>
  <c r="BJ49" i="16"/>
  <c r="BO4" i="16" s="1"/>
  <c r="BO9" i="16"/>
  <c r="BO49" i="16" l="1"/>
  <c r="BQ9" i="16"/>
  <c r="BQ49" i="16" s="1"/>
  <c r="BR9" i="16" l="1"/>
  <c r="BR39" i="16"/>
  <c r="BS39" i="16" s="1"/>
  <c r="BU39" i="16" s="1"/>
  <c r="BV39" i="16" s="1"/>
  <c r="BW39" i="16" s="1"/>
  <c r="BR18" i="16"/>
  <c r="BS18" i="16" s="1"/>
  <c r="BU18" i="16" s="1"/>
  <c r="BV18" i="16" s="1"/>
  <c r="BW18" i="16" s="1"/>
  <c r="BR46" i="16"/>
  <c r="BS46" i="16" s="1"/>
  <c r="BU46" i="16" s="1"/>
  <c r="BV46" i="16" s="1"/>
  <c r="BW46" i="16" s="1"/>
  <c r="BR37" i="16"/>
  <c r="BS37" i="16" s="1"/>
  <c r="BU37" i="16" s="1"/>
  <c r="BV37" i="16" s="1"/>
  <c r="BW37" i="16" s="1"/>
  <c r="BR47" i="16"/>
  <c r="BS47" i="16" s="1"/>
  <c r="BU47" i="16" s="1"/>
  <c r="BV47" i="16" s="1"/>
  <c r="BW47" i="16" s="1"/>
  <c r="BR21" i="16"/>
  <c r="BS21" i="16" s="1"/>
  <c r="BU21" i="16" s="1"/>
  <c r="BV21" i="16" s="1"/>
  <c r="BW21" i="16" s="1"/>
  <c r="BR25" i="16"/>
  <c r="BS25" i="16" s="1"/>
  <c r="BU25" i="16" s="1"/>
  <c r="BV25" i="16" s="1"/>
  <c r="BW25" i="16" s="1"/>
  <c r="BR13" i="16"/>
  <c r="BS13" i="16" s="1"/>
  <c r="BU13" i="16" s="1"/>
  <c r="BV13" i="16" s="1"/>
  <c r="BW13" i="16" s="1"/>
  <c r="BR30" i="16"/>
  <c r="BS30" i="16" s="1"/>
  <c r="BU30" i="16" s="1"/>
  <c r="BV30" i="16" s="1"/>
  <c r="BW30" i="16" s="1"/>
  <c r="BR23" i="16"/>
  <c r="BS23" i="16" s="1"/>
  <c r="BR35" i="16"/>
  <c r="BS35" i="16" s="1"/>
  <c r="BU35" i="16" s="1"/>
  <c r="BV35" i="16" s="1"/>
  <c r="BW35" i="16" s="1"/>
  <c r="BR14" i="16"/>
  <c r="BS14" i="16" s="1"/>
  <c r="BU14" i="16" s="1"/>
  <c r="BV14" i="16" s="1"/>
  <c r="BW14" i="16" s="1"/>
  <c r="BR16" i="16"/>
  <c r="BS16" i="16" s="1"/>
  <c r="BU16" i="16" s="1"/>
  <c r="BV16" i="16" s="1"/>
  <c r="BW16" i="16" s="1"/>
  <c r="BR11" i="16"/>
  <c r="BS11" i="16" s="1"/>
  <c r="BU11" i="16" s="1"/>
  <c r="BV11" i="16" s="1"/>
  <c r="BW11" i="16" s="1"/>
  <c r="BR33" i="16"/>
  <c r="BS33" i="16" s="1"/>
  <c r="BU33" i="16" s="1"/>
  <c r="BV33" i="16" s="1"/>
  <c r="BW33" i="16" s="1"/>
  <c r="BR29" i="16"/>
  <c r="BS29" i="16" s="1"/>
  <c r="BU29" i="16" s="1"/>
  <c r="BV29" i="16" s="1"/>
  <c r="BW29" i="16" s="1"/>
  <c r="BR12" i="16"/>
  <c r="BS12" i="16" s="1"/>
  <c r="BU12" i="16" s="1"/>
  <c r="BV12" i="16" s="1"/>
  <c r="BW12" i="16" s="1"/>
  <c r="BR45" i="16"/>
  <c r="BS45" i="16" s="1"/>
  <c r="BU45" i="16" s="1"/>
  <c r="BV45" i="16" s="1"/>
  <c r="BW45" i="16" s="1"/>
  <c r="BR43" i="16"/>
  <c r="BS43" i="16" s="1"/>
  <c r="BU43" i="16" s="1"/>
  <c r="BV43" i="16" s="1"/>
  <c r="BW43" i="16" s="1"/>
  <c r="BR24" i="16"/>
  <c r="BS24" i="16" s="1"/>
  <c r="BU24" i="16" s="1"/>
  <c r="BV24" i="16" s="1"/>
  <c r="BW24" i="16" s="1"/>
  <c r="BR38" i="16"/>
  <c r="BS38" i="16" s="1"/>
  <c r="BU38" i="16" s="1"/>
  <c r="BV38" i="16" s="1"/>
  <c r="BW38" i="16" s="1"/>
  <c r="BR48" i="16"/>
  <c r="BS48" i="16" s="1"/>
  <c r="BU48" i="16" s="1"/>
  <c r="BV48" i="16" s="1"/>
  <c r="BW48" i="16" s="1"/>
  <c r="BR44" i="16"/>
  <c r="BS44" i="16" s="1"/>
  <c r="BU44" i="16" s="1"/>
  <c r="BV44" i="16" s="1"/>
  <c r="BW44" i="16" s="1"/>
  <c r="BR32" i="16"/>
  <c r="BS32" i="16" s="1"/>
  <c r="BU32" i="16" s="1"/>
  <c r="BV32" i="16" s="1"/>
  <c r="BW32" i="16" s="1"/>
  <c r="BR34" i="16"/>
  <c r="BS34" i="16" s="1"/>
  <c r="BU34" i="16" s="1"/>
  <c r="BV34" i="16" s="1"/>
  <c r="BW34" i="16" s="1"/>
  <c r="BR27" i="16"/>
  <c r="BS27" i="16" s="1"/>
  <c r="BU27" i="16" s="1"/>
  <c r="BV27" i="16" s="1"/>
  <c r="BW27" i="16" s="1"/>
  <c r="BR19" i="16"/>
  <c r="BS19" i="16" s="1"/>
  <c r="BU19" i="16" s="1"/>
  <c r="BV19" i="16" s="1"/>
  <c r="BW19" i="16" s="1"/>
  <c r="BR22" i="16"/>
  <c r="BS22" i="16" s="1"/>
  <c r="BU22" i="16" s="1"/>
  <c r="BV22" i="16" s="1"/>
  <c r="BW22" i="16" s="1"/>
  <c r="BR41" i="16"/>
  <c r="BS41" i="16" s="1"/>
  <c r="BU41" i="16" s="1"/>
  <c r="BV41" i="16" s="1"/>
  <c r="BW41" i="16" s="1"/>
  <c r="BR36" i="16"/>
  <c r="BS36" i="16" s="1"/>
  <c r="BU36" i="16" s="1"/>
  <c r="BV36" i="16" s="1"/>
  <c r="BW36" i="16" s="1"/>
  <c r="BR42" i="16"/>
  <c r="BS42" i="16" s="1"/>
  <c r="BU42" i="16" s="1"/>
  <c r="BV42" i="16" s="1"/>
  <c r="BW42" i="16" s="1"/>
  <c r="BR31" i="16"/>
  <c r="BS31" i="16" s="1"/>
  <c r="BU31" i="16" s="1"/>
  <c r="BV31" i="16" s="1"/>
  <c r="BW31" i="16" s="1"/>
  <c r="BR10" i="16"/>
  <c r="BS10" i="16" s="1"/>
  <c r="BU10" i="16" s="1"/>
  <c r="BV10" i="16" s="1"/>
  <c r="BW10" i="16" s="1"/>
  <c r="BR15" i="16"/>
  <c r="BS15" i="16" s="1"/>
  <c r="BU15" i="16" s="1"/>
  <c r="BV15" i="16" s="1"/>
  <c r="BW15" i="16" s="1"/>
  <c r="BR26" i="16"/>
  <c r="BS26" i="16" s="1"/>
  <c r="BU26" i="16" s="1"/>
  <c r="BV26" i="16" s="1"/>
  <c r="BW26" i="16" s="1"/>
  <c r="BR40" i="16"/>
  <c r="BS40" i="16" s="1"/>
  <c r="BU40" i="16" s="1"/>
  <c r="BV40" i="16" s="1"/>
  <c r="BW40" i="16" s="1"/>
  <c r="BR20" i="16"/>
  <c r="BS20" i="16" s="1"/>
  <c r="BU20" i="16" s="1"/>
  <c r="BV20" i="16" s="1"/>
  <c r="BW20" i="16" s="1"/>
  <c r="BR17" i="16"/>
  <c r="BS17" i="16" s="1"/>
  <c r="BU17" i="16" s="1"/>
  <c r="BV17" i="16" s="1"/>
  <c r="BW17" i="16" s="1"/>
  <c r="BR28" i="16"/>
  <c r="BS28" i="16" s="1"/>
  <c r="BU28" i="16" s="1"/>
  <c r="BV28" i="16" s="1"/>
  <c r="BW28" i="16" s="1"/>
  <c r="BU23" i="16" l="1"/>
  <c r="BV23" i="16" s="1"/>
  <c r="BW23" i="16" s="1"/>
  <c r="BR49" i="16"/>
  <c r="BS9" i="16"/>
  <c r="BU9" i="16" l="1"/>
  <c r="BV9" i="16" s="1"/>
  <c r="BS49" i="16"/>
  <c r="BV49" i="16" l="1"/>
  <c r="BW9" i="16"/>
  <c r="BW49" i="16" s="1"/>
  <c r="BX37" i="16" l="1"/>
  <c r="BY37" i="16" s="1"/>
  <c r="BX28" i="16"/>
  <c r="BY28" i="16" s="1"/>
  <c r="BX20" i="16"/>
  <c r="BY20" i="16" s="1"/>
  <c r="BX34" i="16"/>
  <c r="BY34" i="16" s="1"/>
  <c r="BX44" i="16"/>
  <c r="BY44" i="16" s="1"/>
  <c r="BX31" i="16"/>
  <c r="BY31" i="16" s="1"/>
  <c r="BX13" i="16"/>
  <c r="BY13" i="16" s="1"/>
  <c r="BX19" i="16"/>
  <c r="BY19" i="16" s="1"/>
  <c r="BX17" i="16"/>
  <c r="BY17" i="16" s="1"/>
  <c r="BX36" i="16"/>
  <c r="BY36" i="16" s="1"/>
  <c r="BX46" i="16"/>
  <c r="BY46" i="16" s="1"/>
  <c r="BX45" i="16"/>
  <c r="BY45" i="16" s="1"/>
  <c r="BX43" i="16"/>
  <c r="BY43" i="16" s="1"/>
  <c r="BX24" i="16"/>
  <c r="BY24" i="16" s="1"/>
  <c r="BX32" i="16"/>
  <c r="BY32" i="16" s="1"/>
  <c r="BX22" i="16"/>
  <c r="BY22" i="16" s="1"/>
  <c r="BX35" i="16"/>
  <c r="BY35" i="16" s="1"/>
  <c r="BX12" i="16"/>
  <c r="BY12" i="16" s="1"/>
  <c r="BX40" i="16"/>
  <c r="BY40" i="16" s="1"/>
  <c r="BX27" i="16"/>
  <c r="BY27" i="16" s="1"/>
  <c r="BX30" i="16"/>
  <c r="BY30" i="16" s="1"/>
  <c r="BX42" i="16"/>
  <c r="BY42" i="16" s="1"/>
  <c r="BX16" i="16"/>
  <c r="BY16" i="16" s="1"/>
  <c r="BX48" i="16"/>
  <c r="BY48" i="16" s="1"/>
  <c r="BX15" i="16"/>
  <c r="BY15" i="16" s="1"/>
  <c r="BX39" i="16"/>
  <c r="BX18" i="16"/>
  <c r="BY18" i="16" s="1"/>
  <c r="BX9" i="16"/>
  <c r="BY9" i="16" s="1"/>
  <c r="BX10" i="16"/>
  <c r="BY10" i="16" s="1"/>
  <c r="BX33" i="16"/>
  <c r="BY33" i="16" s="1"/>
  <c r="BX23" i="16"/>
  <c r="BY23" i="16" s="1"/>
  <c r="BX25" i="16"/>
  <c r="BY25" i="16" s="1"/>
  <c r="BX21" i="16"/>
  <c r="BY21" i="16" s="1"/>
  <c r="BX47" i="16"/>
  <c r="BY47" i="16" s="1"/>
  <c r="BX14" i="16"/>
  <c r="BY14" i="16" s="1"/>
  <c r="BX26" i="16"/>
  <c r="BY26" i="16" s="1"/>
  <c r="BX41" i="16"/>
  <c r="BY41" i="16" s="1"/>
  <c r="BX11" i="16"/>
  <c r="BY11" i="16" s="1"/>
  <c r="BX29" i="16"/>
  <c r="BY29" i="16" s="1"/>
  <c r="BX38" i="16"/>
  <c r="BY38" i="16" s="1"/>
  <c r="BY39" i="16"/>
  <c r="Q77" i="1" l="1"/>
  <c r="Q68" i="1"/>
  <c r="Q53" i="1"/>
  <c r="Q63" i="1"/>
  <c r="Q58" i="1"/>
  <c r="Q48" i="1"/>
  <c r="Q30" i="1" s="1"/>
  <c r="Q51" i="1"/>
  <c r="Q76" i="1"/>
  <c r="Q74" i="1"/>
  <c r="Q66" i="1"/>
  <c r="Q80" i="1"/>
  <c r="Q57" i="1"/>
  <c r="Q62" i="1"/>
  <c r="Q59" i="1"/>
  <c r="Q72" i="1"/>
  <c r="Q45" i="1"/>
  <c r="Q67" i="1"/>
  <c r="Q50" i="1"/>
  <c r="Q64" i="1"/>
  <c r="Q52" i="1"/>
  <c r="Q78" i="1"/>
  <c r="Q65" i="1"/>
  <c r="Q55" i="1"/>
  <c r="Q71" i="1"/>
  <c r="Q54" i="1"/>
  <c r="Q44" i="1"/>
  <c r="Q56" i="1"/>
  <c r="Q60" i="1"/>
  <c r="Q47" i="1"/>
  <c r="Q29" i="1" s="1"/>
  <c r="Q79" i="1"/>
  <c r="Q49" i="1"/>
  <c r="Q46" i="1"/>
  <c r="Q43" i="1"/>
  <c r="Q70" i="1"/>
  <c r="Q42" i="1"/>
  <c r="BY49" i="16"/>
  <c r="Q61" i="1"/>
  <c r="Q73" i="1"/>
  <c r="Q75" i="1"/>
  <c r="Q69" i="1"/>
  <c r="C43" i="15"/>
  <c r="B43" i="15"/>
  <c r="AE49" i="10" s="1"/>
  <c r="E39" i="15"/>
  <c r="AH45" i="10" s="1"/>
  <c r="D39" i="15"/>
  <c r="Z45" i="10" s="1"/>
  <c r="B39" i="15"/>
  <c r="E34" i="15"/>
  <c r="AH40" i="10" s="1"/>
  <c r="D34" i="15"/>
  <c r="AG40" i="10" s="1"/>
  <c r="E32" i="15"/>
  <c r="AA38" i="10" s="1"/>
  <c r="D32" i="15"/>
  <c r="Z38" i="10" s="1"/>
  <c r="E16" i="15"/>
  <c r="D16" i="15"/>
  <c r="E5" i="15"/>
  <c r="E43" i="15" s="1"/>
  <c r="D5" i="15"/>
  <c r="B39" i="14"/>
  <c r="C45" i="10" s="1"/>
  <c r="B34" i="14"/>
  <c r="B32" i="14"/>
  <c r="B16" i="14"/>
  <c r="B5" i="14"/>
  <c r="E43" i="13"/>
  <c r="D43" i="13"/>
  <c r="S49" i="10" s="1"/>
  <c r="B43" i="13"/>
  <c r="E29" i="13"/>
  <c r="E27" i="13"/>
  <c r="D27" i="13"/>
  <c r="C27" i="13"/>
  <c r="D25" i="13"/>
  <c r="C25" i="13"/>
  <c r="E21" i="13"/>
  <c r="D21" i="13"/>
  <c r="C21" i="13"/>
  <c r="E43" i="12"/>
  <c r="D43" i="12"/>
  <c r="B43" i="12"/>
  <c r="E29" i="12"/>
  <c r="E27" i="12"/>
  <c r="D27" i="12"/>
  <c r="C27" i="12"/>
  <c r="D25" i="12"/>
  <c r="C25" i="12"/>
  <c r="E21" i="12"/>
  <c r="D21" i="12"/>
  <c r="C21" i="12"/>
  <c r="C43" i="12" s="1"/>
  <c r="E43" i="11"/>
  <c r="D43" i="11"/>
  <c r="C43" i="11"/>
  <c r="B43" i="11"/>
  <c r="C56" i="10"/>
  <c r="D56" i="10" s="1"/>
  <c r="E56" i="10" s="1"/>
  <c r="F56" i="10" s="1"/>
  <c r="G56" i="10" s="1"/>
  <c r="H56" i="10" s="1"/>
  <c r="I56" i="10" s="1"/>
  <c r="J56" i="10" s="1"/>
  <c r="K56" i="10" s="1"/>
  <c r="L56" i="10" s="1"/>
  <c r="M56" i="10" s="1"/>
  <c r="N56" i="10" s="1"/>
  <c r="O56" i="10" s="1"/>
  <c r="P56" i="10" s="1"/>
  <c r="Q56" i="10" s="1"/>
  <c r="R56" i="10" s="1"/>
  <c r="S56" i="10" s="1"/>
  <c r="T56" i="10" s="1"/>
  <c r="U56" i="10" s="1"/>
  <c r="V56" i="10" s="1"/>
  <c r="W56" i="10" s="1"/>
  <c r="X56" i="10" s="1"/>
  <c r="Y56" i="10" s="1"/>
  <c r="Z56" i="10" s="1"/>
  <c r="AA56" i="10" s="1"/>
  <c r="AB56" i="10" s="1"/>
  <c r="AC56" i="10" s="1"/>
  <c r="AD56" i="10" s="1"/>
  <c r="AE56" i="10" s="1"/>
  <c r="AF56" i="10" s="1"/>
  <c r="AG56" i="10" s="1"/>
  <c r="AH56" i="10" s="1"/>
  <c r="AI56" i="10" s="1"/>
  <c r="AJ56" i="10" s="1"/>
  <c r="AK56" i="10" s="1"/>
  <c r="AL56" i="10" s="1"/>
  <c r="AM56" i="10" s="1"/>
  <c r="AN56" i="10" s="1"/>
  <c r="AO56" i="10" s="1"/>
  <c r="AP56" i="10" s="1"/>
  <c r="AQ56" i="10" s="1"/>
  <c r="AR56" i="10" s="1"/>
  <c r="AS56" i="10" s="1"/>
  <c r="AT56" i="10" s="1"/>
  <c r="AU56" i="10" s="1"/>
  <c r="AV56" i="10" s="1"/>
  <c r="AW56" i="10" s="1"/>
  <c r="AX56" i="10" s="1"/>
  <c r="AY56" i="10" s="1"/>
  <c r="AZ56" i="10" s="1"/>
  <c r="BA56" i="10" s="1"/>
  <c r="BB56" i="10" s="1"/>
  <c r="BC56" i="10" s="1"/>
  <c r="BD56" i="10" s="1"/>
  <c r="BE56" i="10" s="1"/>
  <c r="BF56" i="10" s="1"/>
  <c r="BG56" i="10" s="1"/>
  <c r="BH56" i="10" s="1"/>
  <c r="BI56" i="10" s="1"/>
  <c r="BJ56" i="10" s="1"/>
  <c r="BK56" i="10" s="1"/>
  <c r="BL56" i="10" s="1"/>
  <c r="BM56" i="10" s="1"/>
  <c r="BN56" i="10" s="1"/>
  <c r="BO56" i="10" s="1"/>
  <c r="AM49" i="10"/>
  <c r="AL49" i="10"/>
  <c r="X49" i="10"/>
  <c r="Q49" i="10"/>
  <c r="L49" i="10"/>
  <c r="J49" i="10"/>
  <c r="BU48" i="10"/>
  <c r="BG48" i="10"/>
  <c r="AO48" i="10"/>
  <c r="AN48" i="10"/>
  <c r="AM48" i="10"/>
  <c r="AL48" i="10"/>
  <c r="AH48" i="10"/>
  <c r="AG48" i="10"/>
  <c r="AF48" i="10"/>
  <c r="AE48" i="10"/>
  <c r="AA48" i="10"/>
  <c r="Z48" i="10"/>
  <c r="Y48" i="10"/>
  <c r="X48" i="10"/>
  <c r="T48" i="10"/>
  <c r="S48" i="10"/>
  <c r="R48" i="10"/>
  <c r="Q48" i="10"/>
  <c r="M48" i="10"/>
  <c r="L48" i="10"/>
  <c r="K48" i="10"/>
  <c r="J48" i="10"/>
  <c r="F48" i="10"/>
  <c r="E48" i="10"/>
  <c r="D48" i="10"/>
  <c r="C48" i="10"/>
  <c r="BU47" i="10"/>
  <c r="BG47" i="10"/>
  <c r="AO47" i="10"/>
  <c r="AN47" i="10"/>
  <c r="AM47" i="10"/>
  <c r="AL47" i="10"/>
  <c r="AH47" i="10"/>
  <c r="AG47" i="10"/>
  <c r="AF47" i="10"/>
  <c r="AE47" i="10"/>
  <c r="AA47" i="10"/>
  <c r="Z47" i="10"/>
  <c r="Y47" i="10"/>
  <c r="X47" i="10"/>
  <c r="T47" i="10"/>
  <c r="S47" i="10"/>
  <c r="R47" i="10"/>
  <c r="Q47" i="10"/>
  <c r="M47" i="10"/>
  <c r="L47" i="10"/>
  <c r="K47" i="10"/>
  <c r="J47" i="10"/>
  <c r="F47" i="10"/>
  <c r="E47" i="10"/>
  <c r="D47" i="10"/>
  <c r="C47" i="10"/>
  <c r="BU46" i="10"/>
  <c r="BG46" i="10"/>
  <c r="AO46" i="10"/>
  <c r="AN46" i="10"/>
  <c r="AM46" i="10"/>
  <c r="AL46" i="10"/>
  <c r="AH46" i="10"/>
  <c r="AG46" i="10"/>
  <c r="AF46" i="10"/>
  <c r="AE46" i="10"/>
  <c r="AA46" i="10"/>
  <c r="Z46" i="10"/>
  <c r="Y46" i="10"/>
  <c r="X46" i="10"/>
  <c r="T46" i="10"/>
  <c r="S46" i="10"/>
  <c r="R46" i="10"/>
  <c r="Q46" i="10"/>
  <c r="M46" i="10"/>
  <c r="L46" i="10"/>
  <c r="K46" i="10"/>
  <c r="J46" i="10"/>
  <c r="F46" i="10"/>
  <c r="E46" i="10"/>
  <c r="D46" i="10"/>
  <c r="C46" i="10"/>
  <c r="BG45" i="10"/>
  <c r="AO45" i="10"/>
  <c r="AN45" i="10"/>
  <c r="AM45" i="10"/>
  <c r="AL45" i="10"/>
  <c r="AG45" i="10"/>
  <c r="AF45" i="10"/>
  <c r="AE45" i="10"/>
  <c r="AA45" i="10"/>
  <c r="Y45" i="10"/>
  <c r="X45" i="10"/>
  <c r="T45" i="10"/>
  <c r="S45" i="10"/>
  <c r="R45" i="10"/>
  <c r="Q45" i="10"/>
  <c r="M45" i="10"/>
  <c r="L45" i="10"/>
  <c r="K45" i="10"/>
  <c r="J45" i="10"/>
  <c r="F45" i="10"/>
  <c r="E45" i="10"/>
  <c r="D45" i="10"/>
  <c r="BU44" i="10"/>
  <c r="BG44" i="10"/>
  <c r="AO44" i="10"/>
  <c r="AN44" i="10"/>
  <c r="AM44" i="10"/>
  <c r="AL44" i="10"/>
  <c r="AH44" i="10"/>
  <c r="AG44" i="10"/>
  <c r="AF44" i="10"/>
  <c r="AE44" i="10"/>
  <c r="AA44" i="10"/>
  <c r="Z44" i="10"/>
  <c r="Y44" i="10"/>
  <c r="X44" i="10"/>
  <c r="T44" i="10"/>
  <c r="S44" i="10"/>
  <c r="R44" i="10"/>
  <c r="Q44" i="10"/>
  <c r="M44" i="10"/>
  <c r="L44" i="10"/>
  <c r="K44" i="10"/>
  <c r="J44" i="10"/>
  <c r="F44" i="10"/>
  <c r="E44" i="10"/>
  <c r="D44" i="10"/>
  <c r="C44" i="10"/>
  <c r="BG43" i="10"/>
  <c r="AO43" i="10"/>
  <c r="AN43" i="10"/>
  <c r="AM43" i="10"/>
  <c r="AL43" i="10"/>
  <c r="AH43" i="10"/>
  <c r="AG43" i="10"/>
  <c r="AF43" i="10"/>
  <c r="AE43" i="10"/>
  <c r="AA43" i="10"/>
  <c r="Z43" i="10"/>
  <c r="Y43" i="10"/>
  <c r="X43" i="10"/>
  <c r="T43" i="10"/>
  <c r="S43" i="10"/>
  <c r="R43" i="10"/>
  <c r="Q43" i="10"/>
  <c r="M43" i="10"/>
  <c r="L43" i="10"/>
  <c r="K43" i="10"/>
  <c r="J43" i="10"/>
  <c r="F43" i="10"/>
  <c r="E43" i="10"/>
  <c r="D43" i="10"/>
  <c r="C43" i="10"/>
  <c r="BG42" i="10"/>
  <c r="BU42" i="10" s="1"/>
  <c r="AO42" i="10"/>
  <c r="AN42" i="10"/>
  <c r="AM42" i="10"/>
  <c r="AL42" i="10"/>
  <c r="AH42" i="10"/>
  <c r="AG42" i="10"/>
  <c r="AF42" i="10"/>
  <c r="AE42" i="10"/>
  <c r="AA42" i="10"/>
  <c r="Z42" i="10"/>
  <c r="Y42" i="10"/>
  <c r="X42" i="10"/>
  <c r="T42" i="10"/>
  <c r="S42" i="10"/>
  <c r="R42" i="10"/>
  <c r="Q42" i="10"/>
  <c r="M42" i="10"/>
  <c r="L42" i="10"/>
  <c r="K42" i="10"/>
  <c r="J42" i="10"/>
  <c r="F42" i="10"/>
  <c r="E42" i="10"/>
  <c r="D42" i="10"/>
  <c r="C42" i="10"/>
  <c r="BG41" i="10"/>
  <c r="BU41" i="10" s="1"/>
  <c r="AO41" i="10"/>
  <c r="AN41" i="10"/>
  <c r="AM41" i="10"/>
  <c r="AL41" i="10"/>
  <c r="AH41" i="10"/>
  <c r="AG41" i="10"/>
  <c r="AF41" i="10"/>
  <c r="AE41" i="10"/>
  <c r="AA41" i="10"/>
  <c r="Z41" i="10"/>
  <c r="Y41" i="10"/>
  <c r="X41" i="10"/>
  <c r="T41" i="10"/>
  <c r="S41" i="10"/>
  <c r="R41" i="10"/>
  <c r="Q41" i="10"/>
  <c r="M41" i="10"/>
  <c r="L41" i="10"/>
  <c r="K41" i="10"/>
  <c r="J41" i="10"/>
  <c r="F41" i="10"/>
  <c r="E41" i="10"/>
  <c r="D41" i="10"/>
  <c r="C41" i="10"/>
  <c r="AN40" i="10"/>
  <c r="AM40" i="10"/>
  <c r="AL40" i="10"/>
  <c r="AF40" i="10"/>
  <c r="AE40" i="10"/>
  <c r="AA40" i="10"/>
  <c r="Z40" i="10"/>
  <c r="Y40" i="10"/>
  <c r="X40" i="10"/>
  <c r="T40" i="10"/>
  <c r="S40" i="10"/>
  <c r="R40" i="10"/>
  <c r="Q40" i="10"/>
  <c r="M40" i="10"/>
  <c r="L40" i="10"/>
  <c r="K40" i="10"/>
  <c r="J40" i="10"/>
  <c r="F40" i="10"/>
  <c r="E40" i="10"/>
  <c r="D40" i="10"/>
  <c r="C40" i="10"/>
  <c r="BG39" i="10"/>
  <c r="BU39" i="10" s="1"/>
  <c r="AO39" i="10"/>
  <c r="AN39" i="10"/>
  <c r="AM39" i="10"/>
  <c r="AL39" i="10"/>
  <c r="AH39" i="10"/>
  <c r="AG39" i="10"/>
  <c r="AF39" i="10"/>
  <c r="AE39" i="10"/>
  <c r="AA39" i="10"/>
  <c r="Z39" i="10"/>
  <c r="Y39" i="10"/>
  <c r="X39" i="10"/>
  <c r="T39" i="10"/>
  <c r="S39" i="10"/>
  <c r="R39" i="10"/>
  <c r="Q39" i="10"/>
  <c r="M39" i="10"/>
  <c r="L39" i="10"/>
  <c r="K39" i="10"/>
  <c r="J39" i="10"/>
  <c r="F39" i="10"/>
  <c r="E39" i="10"/>
  <c r="D39" i="10"/>
  <c r="C39" i="10"/>
  <c r="AO38" i="10"/>
  <c r="AN38" i="10"/>
  <c r="AM38" i="10"/>
  <c r="AL38" i="10"/>
  <c r="AH38" i="10"/>
  <c r="AF38" i="10"/>
  <c r="AE38" i="10"/>
  <c r="Y38" i="10"/>
  <c r="X38" i="10"/>
  <c r="T38" i="10"/>
  <c r="S38" i="10"/>
  <c r="R38" i="10"/>
  <c r="Q38" i="10"/>
  <c r="M38" i="10"/>
  <c r="L38" i="10"/>
  <c r="K38" i="10"/>
  <c r="J38" i="10"/>
  <c r="F38" i="10"/>
  <c r="E38" i="10"/>
  <c r="D38" i="10"/>
  <c r="C38" i="10"/>
  <c r="BG37" i="10"/>
  <c r="AO37" i="10"/>
  <c r="AN37" i="10"/>
  <c r="AM37" i="10"/>
  <c r="AL37" i="10"/>
  <c r="AH37" i="10"/>
  <c r="AG37" i="10"/>
  <c r="AF37" i="10"/>
  <c r="AE37" i="10"/>
  <c r="AA37" i="10"/>
  <c r="Z37" i="10"/>
  <c r="Y37" i="10"/>
  <c r="X37" i="10"/>
  <c r="T37" i="10"/>
  <c r="S37" i="10"/>
  <c r="R37" i="10"/>
  <c r="Q37" i="10"/>
  <c r="M37" i="10"/>
  <c r="L37" i="10"/>
  <c r="K37" i="10"/>
  <c r="J37" i="10"/>
  <c r="F37" i="10"/>
  <c r="E37" i="10"/>
  <c r="D37" i="10"/>
  <c r="C37" i="10"/>
  <c r="BG36" i="10"/>
  <c r="BU36" i="10" s="1"/>
  <c r="AO36" i="10"/>
  <c r="AN36" i="10"/>
  <c r="AM36" i="10"/>
  <c r="AL36" i="10"/>
  <c r="AH36" i="10"/>
  <c r="AG36" i="10"/>
  <c r="AF36" i="10"/>
  <c r="AE36" i="10"/>
  <c r="AA36" i="10"/>
  <c r="Z36" i="10"/>
  <c r="Y36" i="10"/>
  <c r="X36" i="10"/>
  <c r="T36" i="10"/>
  <c r="S36" i="10"/>
  <c r="R36" i="10"/>
  <c r="Q36" i="10"/>
  <c r="M36" i="10"/>
  <c r="L36" i="10"/>
  <c r="K36" i="10"/>
  <c r="J36" i="10"/>
  <c r="F36" i="10"/>
  <c r="E36" i="10"/>
  <c r="D36" i="10"/>
  <c r="C36" i="10"/>
  <c r="BG35" i="10"/>
  <c r="AO35" i="10"/>
  <c r="AN35" i="10"/>
  <c r="AM35" i="10"/>
  <c r="AL35" i="10"/>
  <c r="AH35" i="10"/>
  <c r="AG35" i="10"/>
  <c r="AF35" i="10"/>
  <c r="AE35" i="10"/>
  <c r="AA35" i="10"/>
  <c r="Z35" i="10"/>
  <c r="Y35" i="10"/>
  <c r="X35" i="10"/>
  <c r="T35" i="10"/>
  <c r="S35" i="10"/>
  <c r="R35" i="10"/>
  <c r="Q35" i="10"/>
  <c r="M35" i="10"/>
  <c r="L35" i="10"/>
  <c r="K35" i="10"/>
  <c r="J35" i="10"/>
  <c r="F35" i="10"/>
  <c r="E35" i="10"/>
  <c r="D35" i="10"/>
  <c r="C35" i="10"/>
  <c r="BG34" i="10"/>
  <c r="AO34" i="10"/>
  <c r="AN34" i="10"/>
  <c r="AM34" i="10"/>
  <c r="AL34" i="10"/>
  <c r="AH34" i="10"/>
  <c r="AG34" i="10"/>
  <c r="AF34" i="10"/>
  <c r="AE34" i="10"/>
  <c r="AA34" i="10"/>
  <c r="Z34" i="10"/>
  <c r="Y34" i="10"/>
  <c r="X34" i="10"/>
  <c r="T34" i="10"/>
  <c r="S34" i="10"/>
  <c r="R34" i="10"/>
  <c r="Q34" i="10"/>
  <c r="M34" i="10"/>
  <c r="L34" i="10"/>
  <c r="K34" i="10"/>
  <c r="J34" i="10"/>
  <c r="F34" i="10"/>
  <c r="E34" i="10"/>
  <c r="D34" i="10"/>
  <c r="C34" i="10"/>
  <c r="BG33" i="10"/>
  <c r="AO33" i="10"/>
  <c r="AN33" i="10"/>
  <c r="AM33" i="10"/>
  <c r="AL33" i="10"/>
  <c r="AH33" i="10"/>
  <c r="AG33" i="10"/>
  <c r="AF33" i="10"/>
  <c r="AE33" i="10"/>
  <c r="AA33" i="10"/>
  <c r="Z33" i="10"/>
  <c r="Y33" i="10"/>
  <c r="X33" i="10"/>
  <c r="T33" i="10"/>
  <c r="S33" i="10"/>
  <c r="R33" i="10"/>
  <c r="Q33" i="10"/>
  <c r="M33" i="10"/>
  <c r="L33" i="10"/>
  <c r="K33" i="10"/>
  <c r="J33" i="10"/>
  <c r="F33" i="10"/>
  <c r="E33" i="10"/>
  <c r="D33" i="10"/>
  <c r="C33" i="10"/>
  <c r="BU32" i="10"/>
  <c r="AP32" i="10"/>
  <c r="AI32" i="10"/>
  <c r="AB32" i="10"/>
  <c r="U32" i="10"/>
  <c r="N32" i="10"/>
  <c r="H32" i="10"/>
  <c r="V32" i="10" s="1"/>
  <c r="G32" i="10"/>
  <c r="BG31" i="10"/>
  <c r="BU31" i="10" s="1"/>
  <c r="AO31" i="10"/>
  <c r="AN31" i="10"/>
  <c r="AM31" i="10"/>
  <c r="AL31" i="10"/>
  <c r="AH31" i="10"/>
  <c r="AG31" i="10"/>
  <c r="AF31" i="10"/>
  <c r="AE31" i="10"/>
  <c r="AA31" i="10"/>
  <c r="Z31" i="10"/>
  <c r="Y31" i="10"/>
  <c r="X31" i="10"/>
  <c r="T31" i="10"/>
  <c r="S31" i="10"/>
  <c r="R31" i="10"/>
  <c r="Q31" i="10"/>
  <c r="M31" i="10"/>
  <c r="L31" i="10"/>
  <c r="K31" i="10"/>
  <c r="J31" i="10"/>
  <c r="F31" i="10"/>
  <c r="E31" i="10"/>
  <c r="D31" i="10"/>
  <c r="C31" i="10"/>
  <c r="BG30" i="10"/>
  <c r="BU30" i="10" s="1"/>
  <c r="AO30" i="10"/>
  <c r="AN30" i="10"/>
  <c r="AM30" i="10"/>
  <c r="AL30" i="10"/>
  <c r="AH30" i="10"/>
  <c r="AG30" i="10"/>
  <c r="AF30" i="10"/>
  <c r="AE30" i="10"/>
  <c r="AA30" i="10"/>
  <c r="Z30" i="10"/>
  <c r="Y30" i="10"/>
  <c r="X30" i="10"/>
  <c r="T30" i="10"/>
  <c r="S30" i="10"/>
  <c r="R30" i="10"/>
  <c r="Q30" i="10"/>
  <c r="M30" i="10"/>
  <c r="L30" i="10"/>
  <c r="K30" i="10"/>
  <c r="J30" i="10"/>
  <c r="F30" i="10"/>
  <c r="E30" i="10"/>
  <c r="D30" i="10"/>
  <c r="C30" i="10"/>
  <c r="BG29" i="10"/>
  <c r="BU29" i="10" s="1"/>
  <c r="AO29" i="10"/>
  <c r="AN29" i="10"/>
  <c r="AM29" i="10"/>
  <c r="AL29" i="10"/>
  <c r="AH29" i="10"/>
  <c r="AG29" i="10"/>
  <c r="AF29" i="10"/>
  <c r="AE29" i="10"/>
  <c r="AA29" i="10"/>
  <c r="Z29" i="10"/>
  <c r="Y29" i="10"/>
  <c r="X29" i="10"/>
  <c r="T29" i="10"/>
  <c r="S29" i="10"/>
  <c r="R29" i="10"/>
  <c r="Q29" i="10"/>
  <c r="M29" i="10"/>
  <c r="L29" i="10"/>
  <c r="K29" i="10"/>
  <c r="J29" i="10"/>
  <c r="F29" i="10"/>
  <c r="E29" i="10"/>
  <c r="D29" i="10"/>
  <c r="C29" i="10"/>
  <c r="BG28" i="10"/>
  <c r="AO28" i="10"/>
  <c r="AN28" i="10"/>
  <c r="AM28" i="10"/>
  <c r="AL28" i="10"/>
  <c r="AH28" i="10"/>
  <c r="AG28" i="10"/>
  <c r="AF28" i="10"/>
  <c r="AE28" i="10"/>
  <c r="AA28" i="10"/>
  <c r="Z28" i="10"/>
  <c r="Y28" i="10"/>
  <c r="X28" i="10"/>
  <c r="T28" i="10"/>
  <c r="S28" i="10"/>
  <c r="R28" i="10"/>
  <c r="Q28" i="10"/>
  <c r="M28" i="10"/>
  <c r="L28" i="10"/>
  <c r="K28" i="10"/>
  <c r="J28" i="10"/>
  <c r="F28" i="10"/>
  <c r="E28" i="10"/>
  <c r="D28" i="10"/>
  <c r="C28" i="10"/>
  <c r="BU27" i="10"/>
  <c r="BG27" i="10"/>
  <c r="AO27" i="10"/>
  <c r="AN27" i="10"/>
  <c r="AM27" i="10"/>
  <c r="AL27" i="10"/>
  <c r="AH27" i="10"/>
  <c r="AG27" i="10"/>
  <c r="AE27" i="10"/>
  <c r="AA27" i="10"/>
  <c r="Z27" i="10"/>
  <c r="Y27" i="10"/>
  <c r="X27" i="10"/>
  <c r="T27" i="10"/>
  <c r="S27" i="10"/>
  <c r="Q27" i="10"/>
  <c r="M27" i="10"/>
  <c r="L27" i="10"/>
  <c r="K27" i="10"/>
  <c r="J27" i="10"/>
  <c r="F27" i="10"/>
  <c r="E27" i="10"/>
  <c r="D27" i="10"/>
  <c r="C27" i="10"/>
  <c r="BU26" i="10"/>
  <c r="BG26" i="10"/>
  <c r="AO26" i="10"/>
  <c r="AN26" i="10"/>
  <c r="AM26" i="10"/>
  <c r="AL26" i="10"/>
  <c r="AH26" i="10"/>
  <c r="AG26" i="10"/>
  <c r="AF26" i="10"/>
  <c r="AE26" i="10"/>
  <c r="AA26" i="10"/>
  <c r="Z26" i="10"/>
  <c r="Y26" i="10"/>
  <c r="X26" i="10"/>
  <c r="T26" i="10"/>
  <c r="S26" i="10"/>
  <c r="R26" i="10"/>
  <c r="Q26" i="10"/>
  <c r="M26" i="10"/>
  <c r="L26" i="10"/>
  <c r="K26" i="10"/>
  <c r="J26" i="10"/>
  <c r="F26" i="10"/>
  <c r="E26" i="10"/>
  <c r="D26" i="10"/>
  <c r="C26" i="10"/>
  <c r="BG25" i="10"/>
  <c r="BU25" i="10" s="1"/>
  <c r="AO25" i="10"/>
  <c r="AN25" i="10"/>
  <c r="AM25" i="10"/>
  <c r="AL25" i="10"/>
  <c r="AH25" i="10"/>
  <c r="AG25" i="10"/>
  <c r="AF25" i="10"/>
  <c r="AE25" i="10"/>
  <c r="AA25" i="10"/>
  <c r="Z25" i="10"/>
  <c r="Y25" i="10"/>
  <c r="X25" i="10"/>
  <c r="T25" i="10"/>
  <c r="S25" i="10"/>
  <c r="R25" i="10"/>
  <c r="Q25" i="10"/>
  <c r="M25" i="10"/>
  <c r="L25" i="10"/>
  <c r="K25" i="10"/>
  <c r="J25" i="10"/>
  <c r="F25" i="10"/>
  <c r="E25" i="10"/>
  <c r="D25" i="10"/>
  <c r="C25" i="10"/>
  <c r="BG24" i="10"/>
  <c r="AO24" i="10"/>
  <c r="AN24" i="10"/>
  <c r="AM24" i="10"/>
  <c r="AL24" i="10"/>
  <c r="AH24" i="10"/>
  <c r="AG24" i="10"/>
  <c r="AF24" i="10"/>
  <c r="AE24" i="10"/>
  <c r="AA24" i="10"/>
  <c r="Z24" i="10"/>
  <c r="Y24" i="10"/>
  <c r="X24" i="10"/>
  <c r="T24" i="10"/>
  <c r="S24" i="10"/>
  <c r="R24" i="10"/>
  <c r="Q24" i="10"/>
  <c r="M24" i="10"/>
  <c r="L24" i="10"/>
  <c r="K24" i="10"/>
  <c r="J24" i="10"/>
  <c r="F24" i="10"/>
  <c r="E24" i="10"/>
  <c r="D24" i="10"/>
  <c r="C24" i="10"/>
  <c r="BG23" i="10"/>
  <c r="BU23" i="10" s="1"/>
  <c r="AO23" i="10"/>
  <c r="AN23" i="10"/>
  <c r="AM23" i="10"/>
  <c r="AL23" i="10"/>
  <c r="AH23" i="10"/>
  <c r="AG23" i="10"/>
  <c r="AF23" i="10"/>
  <c r="AE23" i="10"/>
  <c r="AA23" i="10"/>
  <c r="Z23" i="10"/>
  <c r="Y23" i="10"/>
  <c r="X23" i="10"/>
  <c r="T23" i="10"/>
  <c r="S23" i="10"/>
  <c r="R23" i="10"/>
  <c r="Q23" i="10"/>
  <c r="M23" i="10"/>
  <c r="L23" i="10"/>
  <c r="K23" i="10"/>
  <c r="J23" i="10"/>
  <c r="F23" i="10"/>
  <c r="E23" i="10"/>
  <c r="D23" i="10"/>
  <c r="C23" i="10"/>
  <c r="BG22" i="10"/>
  <c r="BU22" i="10" s="1"/>
  <c r="AO22" i="10"/>
  <c r="AN22" i="10"/>
  <c r="AM22" i="10"/>
  <c r="AL22" i="10"/>
  <c r="AH22" i="10"/>
  <c r="AG22" i="10"/>
  <c r="AF22" i="10"/>
  <c r="AE22" i="10"/>
  <c r="AA22" i="10"/>
  <c r="Z22" i="10"/>
  <c r="Y22" i="10"/>
  <c r="X22" i="10"/>
  <c r="T22" i="10"/>
  <c r="S22" i="10"/>
  <c r="R22" i="10"/>
  <c r="Q22" i="10"/>
  <c r="M22" i="10"/>
  <c r="L22" i="10"/>
  <c r="K22" i="10"/>
  <c r="J22" i="10"/>
  <c r="F22" i="10"/>
  <c r="E22" i="10"/>
  <c r="D22" i="10"/>
  <c r="C22" i="10"/>
  <c r="BG21" i="10"/>
  <c r="BU21" i="10" s="1"/>
  <c r="AO21" i="10"/>
  <c r="AN21" i="10"/>
  <c r="AM21" i="10"/>
  <c r="AL21" i="10"/>
  <c r="AH21" i="10"/>
  <c r="AG21" i="10"/>
  <c r="AF21" i="10"/>
  <c r="AE21" i="10"/>
  <c r="AA21" i="10"/>
  <c r="Z21" i="10"/>
  <c r="Y21" i="10"/>
  <c r="X21" i="10"/>
  <c r="T21" i="10"/>
  <c r="S21" i="10"/>
  <c r="R21" i="10"/>
  <c r="Q21" i="10"/>
  <c r="M21" i="10"/>
  <c r="L21" i="10"/>
  <c r="K21" i="10"/>
  <c r="J21" i="10"/>
  <c r="F21" i="10"/>
  <c r="E21" i="10"/>
  <c r="D21" i="10"/>
  <c r="C21" i="10"/>
  <c r="BG20" i="10"/>
  <c r="AO20" i="10"/>
  <c r="AN20" i="10"/>
  <c r="AM20" i="10"/>
  <c r="AL20" i="10"/>
  <c r="AH20" i="10"/>
  <c r="AG20" i="10"/>
  <c r="AF20" i="10"/>
  <c r="AE20" i="10"/>
  <c r="AA20" i="10"/>
  <c r="Z20" i="10"/>
  <c r="Y20" i="10"/>
  <c r="X20" i="10"/>
  <c r="T20" i="10"/>
  <c r="S20" i="10"/>
  <c r="R20" i="10"/>
  <c r="Q20" i="10"/>
  <c r="M20" i="10"/>
  <c r="L20" i="10"/>
  <c r="K20" i="10"/>
  <c r="J20" i="10"/>
  <c r="F20" i="10"/>
  <c r="E20" i="10"/>
  <c r="D20" i="10"/>
  <c r="C20" i="10"/>
  <c r="BU19" i="10"/>
  <c r="BG19" i="10"/>
  <c r="AO19" i="10"/>
  <c r="AN19" i="10"/>
  <c r="AM19" i="10"/>
  <c r="AL19" i="10"/>
  <c r="AH19" i="10"/>
  <c r="AG19" i="10"/>
  <c r="AF19" i="10"/>
  <c r="AE19" i="10"/>
  <c r="AA19" i="10"/>
  <c r="Z19" i="10"/>
  <c r="Y19" i="10"/>
  <c r="X19" i="10"/>
  <c r="T19" i="10"/>
  <c r="S19" i="10"/>
  <c r="R19" i="10"/>
  <c r="Q19" i="10"/>
  <c r="M19" i="10"/>
  <c r="L19" i="10"/>
  <c r="K19" i="10"/>
  <c r="J19" i="10"/>
  <c r="F19" i="10"/>
  <c r="E19" i="10"/>
  <c r="D19" i="10"/>
  <c r="C19" i="10"/>
  <c r="BU18" i="10"/>
  <c r="BG18" i="10"/>
  <c r="AO18" i="10"/>
  <c r="AN18" i="10"/>
  <c r="AM18" i="10"/>
  <c r="AL18" i="10"/>
  <c r="AH18" i="10"/>
  <c r="AG18" i="10"/>
  <c r="AF18" i="10"/>
  <c r="AE18" i="10"/>
  <c r="AA18" i="10"/>
  <c r="Z18" i="10"/>
  <c r="Y18" i="10"/>
  <c r="X18" i="10"/>
  <c r="T18" i="10"/>
  <c r="S18" i="10"/>
  <c r="R18" i="10"/>
  <c r="Q18" i="10"/>
  <c r="M18" i="10"/>
  <c r="L18" i="10"/>
  <c r="K18" i="10"/>
  <c r="J18" i="10"/>
  <c r="F18" i="10"/>
  <c r="E18" i="10"/>
  <c r="D18" i="10"/>
  <c r="C18" i="10"/>
  <c r="BG17" i="10"/>
  <c r="BU17" i="10" s="1"/>
  <c r="AO17" i="10"/>
  <c r="AN17" i="10"/>
  <c r="AM17" i="10"/>
  <c r="AL17" i="10"/>
  <c r="AH17" i="10"/>
  <c r="AG17" i="10"/>
  <c r="AF17" i="10"/>
  <c r="AE17" i="10"/>
  <c r="AA17" i="10"/>
  <c r="Z17" i="10"/>
  <c r="Y17" i="10"/>
  <c r="X17" i="10"/>
  <c r="T17" i="10"/>
  <c r="S17" i="10"/>
  <c r="R17" i="10"/>
  <c r="Q17" i="10"/>
  <c r="M17" i="10"/>
  <c r="L17" i="10"/>
  <c r="K17" i="10"/>
  <c r="J17" i="10"/>
  <c r="F17" i="10"/>
  <c r="E17" i="10"/>
  <c r="D17" i="10"/>
  <c r="C17" i="10"/>
  <c r="BU16" i="10"/>
  <c r="BG16" i="10"/>
  <c r="AO16" i="10"/>
  <c r="AN16" i="10"/>
  <c r="AM16" i="10"/>
  <c r="AL16" i="10"/>
  <c r="AH16" i="10"/>
  <c r="AG16" i="10"/>
  <c r="AF16" i="10"/>
  <c r="AE16" i="10"/>
  <c r="AA16" i="10"/>
  <c r="Z16" i="10"/>
  <c r="Y16" i="10"/>
  <c r="X16" i="10"/>
  <c r="T16" i="10"/>
  <c r="S16" i="10"/>
  <c r="R16" i="10"/>
  <c r="Q16" i="10"/>
  <c r="M16" i="10"/>
  <c r="L16" i="10"/>
  <c r="K16" i="10"/>
  <c r="J16" i="10"/>
  <c r="F16" i="10"/>
  <c r="E16" i="10"/>
  <c r="D16" i="10"/>
  <c r="C16" i="10"/>
  <c r="BU15" i="10"/>
  <c r="BR15" i="10"/>
  <c r="BE15" i="10"/>
  <c r="AY15" i="10"/>
  <c r="BU14" i="10"/>
  <c r="BG14" i="10"/>
  <c r="AO14" i="10"/>
  <c r="AN14" i="10"/>
  <c r="AM14" i="10"/>
  <c r="AL14" i="10"/>
  <c r="AH14" i="10"/>
  <c r="AG14" i="10"/>
  <c r="AF14" i="10"/>
  <c r="AE14" i="10"/>
  <c r="AA14" i="10"/>
  <c r="Z14" i="10"/>
  <c r="Y14" i="10"/>
  <c r="X14" i="10"/>
  <c r="T14" i="10"/>
  <c r="S14" i="10"/>
  <c r="R14" i="10"/>
  <c r="Q14" i="10"/>
  <c r="M14" i="10"/>
  <c r="L14" i="10"/>
  <c r="K14" i="10"/>
  <c r="J14" i="10"/>
  <c r="F14" i="10"/>
  <c r="E14" i="10"/>
  <c r="D14" i="10"/>
  <c r="C14" i="10"/>
  <c r="BG13" i="10"/>
  <c r="BU13" i="10" s="1"/>
  <c r="AO13" i="10"/>
  <c r="AN13" i="10"/>
  <c r="AM13" i="10"/>
  <c r="AL13" i="10"/>
  <c r="AH13" i="10"/>
  <c r="AG13" i="10"/>
  <c r="AF13" i="10"/>
  <c r="AE13" i="10"/>
  <c r="AA13" i="10"/>
  <c r="Z13" i="10"/>
  <c r="Y13" i="10"/>
  <c r="X13" i="10"/>
  <c r="T13" i="10"/>
  <c r="S13" i="10"/>
  <c r="R13" i="10"/>
  <c r="Q13" i="10"/>
  <c r="M13" i="10"/>
  <c r="L13" i="10"/>
  <c r="K13" i="10"/>
  <c r="J13" i="10"/>
  <c r="F13" i="10"/>
  <c r="E13" i="10"/>
  <c r="D13" i="10"/>
  <c r="C13" i="10"/>
  <c r="BG12" i="10"/>
  <c r="BU12" i="10" s="1"/>
  <c r="AO12" i="10"/>
  <c r="AN12" i="10"/>
  <c r="AM12" i="10"/>
  <c r="AL12" i="10"/>
  <c r="AH12" i="10"/>
  <c r="AG12" i="10"/>
  <c r="AF12" i="10"/>
  <c r="AE12" i="10"/>
  <c r="AA12" i="10"/>
  <c r="Z12" i="10"/>
  <c r="Y12" i="10"/>
  <c r="X12" i="10"/>
  <c r="T12" i="10"/>
  <c r="S12" i="10"/>
  <c r="R12" i="10"/>
  <c r="Q12" i="10"/>
  <c r="M12" i="10"/>
  <c r="L12" i="10"/>
  <c r="K12" i="10"/>
  <c r="J12" i="10"/>
  <c r="F12" i="10"/>
  <c r="E12" i="10"/>
  <c r="D12" i="10"/>
  <c r="C12" i="10"/>
  <c r="BG11" i="10"/>
  <c r="BU11" i="10" s="1"/>
  <c r="AO11" i="10"/>
  <c r="AN11" i="10"/>
  <c r="AM11" i="10"/>
  <c r="AL11" i="10"/>
  <c r="AH11" i="10"/>
  <c r="AG11" i="10"/>
  <c r="AF11" i="10"/>
  <c r="AE11" i="10"/>
  <c r="AA11" i="10"/>
  <c r="Z11" i="10"/>
  <c r="Y11" i="10"/>
  <c r="X11" i="10"/>
  <c r="T11" i="10"/>
  <c r="S11" i="10"/>
  <c r="R11" i="10"/>
  <c r="Q11" i="10"/>
  <c r="M11" i="10"/>
  <c r="L11" i="10"/>
  <c r="K11" i="10"/>
  <c r="J11" i="10"/>
  <c r="F11" i="10"/>
  <c r="E11" i="10"/>
  <c r="D11" i="10"/>
  <c r="C11" i="10"/>
  <c r="BG10" i="10"/>
  <c r="BU10" i="10" s="1"/>
  <c r="AO10" i="10"/>
  <c r="AN10" i="10"/>
  <c r="AM10" i="10"/>
  <c r="AL10" i="10"/>
  <c r="AH10" i="10"/>
  <c r="AG10" i="10"/>
  <c r="AF10" i="10"/>
  <c r="AE10" i="10"/>
  <c r="AA10" i="10"/>
  <c r="Z10" i="10"/>
  <c r="Y10" i="10"/>
  <c r="X10" i="10"/>
  <c r="T10" i="10"/>
  <c r="S10" i="10"/>
  <c r="R10" i="10"/>
  <c r="Q10" i="10"/>
  <c r="M10" i="10"/>
  <c r="L10" i="10"/>
  <c r="K10" i="10"/>
  <c r="J10" i="10"/>
  <c r="F10" i="10"/>
  <c r="E10" i="10"/>
  <c r="D10" i="10"/>
  <c r="C10" i="10"/>
  <c r="BG9" i="10"/>
  <c r="BU9" i="10" s="1"/>
  <c r="AO9" i="10"/>
  <c r="AN9" i="10"/>
  <c r="AM9" i="10"/>
  <c r="AL9" i="10"/>
  <c r="AH9" i="10"/>
  <c r="AG9" i="10"/>
  <c r="AF9" i="10"/>
  <c r="AE9" i="10"/>
  <c r="AA9" i="10"/>
  <c r="Z9" i="10"/>
  <c r="Y9" i="10"/>
  <c r="X9" i="10"/>
  <c r="T9" i="10"/>
  <c r="S9" i="10"/>
  <c r="R9" i="10"/>
  <c r="Q9" i="10"/>
  <c r="M9" i="10"/>
  <c r="L9" i="10"/>
  <c r="K9" i="10"/>
  <c r="J9" i="10"/>
  <c r="F9" i="10"/>
  <c r="E9" i="10"/>
  <c r="D9" i="10"/>
  <c r="C9" i="10"/>
  <c r="F7" i="10"/>
  <c r="E7" i="10"/>
  <c r="D7" i="10"/>
  <c r="C7" i="10"/>
  <c r="AZ6" i="10"/>
  <c r="AZ4" i="10"/>
  <c r="C53" i="4"/>
  <c r="D53" i="4" s="1"/>
  <c r="E53" i="4" s="1"/>
  <c r="F53" i="4" s="1"/>
  <c r="G53" i="4" s="1"/>
  <c r="H53" i="4" s="1"/>
  <c r="I53" i="4" s="1"/>
  <c r="J53" i="4" s="1"/>
  <c r="K53" i="4" s="1"/>
  <c r="L53" i="4" s="1"/>
  <c r="M53" i="4" s="1"/>
  <c r="N53" i="4" s="1"/>
  <c r="O53" i="4" s="1"/>
  <c r="P53" i="4" s="1"/>
  <c r="Q53" i="4" s="1"/>
  <c r="R53" i="4" s="1"/>
  <c r="S53" i="4" s="1"/>
  <c r="T53" i="4" s="1"/>
  <c r="U53" i="4" s="1"/>
  <c r="V53" i="4" s="1"/>
  <c r="W53" i="4" s="1"/>
  <c r="X53" i="4" s="1"/>
  <c r="Y53" i="4" s="1"/>
  <c r="Z53" i="4" s="1"/>
  <c r="AA53" i="4" s="1"/>
  <c r="AB53" i="4" s="1"/>
  <c r="AC53" i="4" s="1"/>
  <c r="AD53" i="4" s="1"/>
  <c r="AE53" i="4" s="1"/>
  <c r="AF53" i="4" s="1"/>
  <c r="AG53" i="4" s="1"/>
  <c r="AH53" i="4" s="1"/>
  <c r="AI53" i="4" s="1"/>
  <c r="AJ53" i="4" s="1"/>
  <c r="AK53" i="4" s="1"/>
  <c r="AL53" i="4" s="1"/>
  <c r="AM53" i="4" s="1"/>
  <c r="AN53" i="4" s="1"/>
  <c r="AO53" i="4" s="1"/>
  <c r="AP53" i="4" s="1"/>
  <c r="AQ53" i="4" s="1"/>
  <c r="AR53" i="4" s="1"/>
  <c r="AS53" i="4" s="1"/>
  <c r="AT53" i="4" s="1"/>
  <c r="AU53" i="4" s="1"/>
  <c r="AV53" i="4" s="1"/>
  <c r="AW53" i="4" s="1"/>
  <c r="AX53" i="4" s="1"/>
  <c r="AY53" i="4" s="1"/>
  <c r="AZ53" i="4" s="1"/>
  <c r="BA53" i="4" s="1"/>
  <c r="BB53" i="4" s="1"/>
  <c r="BC53" i="4" s="1"/>
  <c r="BD53" i="4" s="1"/>
  <c r="BE53" i="4" s="1"/>
  <c r="BF53" i="4" s="1"/>
  <c r="BG53" i="4" s="1"/>
  <c r="BH53" i="4" s="1"/>
  <c r="BI53" i="4" s="1"/>
  <c r="BJ53" i="4" s="1"/>
  <c r="BK53" i="4" s="1"/>
  <c r="BL53" i="4" s="1"/>
  <c r="BM53" i="4" s="1"/>
  <c r="BN53" i="4" s="1"/>
  <c r="BO53" i="4" s="1"/>
  <c r="BP53" i="4" s="1"/>
  <c r="BQ53" i="4" s="1"/>
  <c r="BR53" i="4" s="1"/>
  <c r="BS53" i="4" s="1"/>
  <c r="BT53" i="4" s="1"/>
  <c r="BU53" i="4" s="1"/>
  <c r="BV53" i="4" s="1"/>
  <c r="BW53" i="4" s="1"/>
  <c r="BX53" i="4" s="1"/>
  <c r="BY53" i="4" s="1"/>
  <c r="BZ53" i="4" s="1"/>
  <c r="B41" i="9"/>
  <c r="D37" i="9"/>
  <c r="C37" i="9"/>
  <c r="B37" i="9"/>
  <c r="E32" i="9"/>
  <c r="E30" i="9"/>
  <c r="E15" i="9"/>
  <c r="E41" i="9" s="1"/>
  <c r="D8" i="9"/>
  <c r="D41" i="9" s="1"/>
  <c r="C8" i="9"/>
  <c r="C41" i="9" s="1"/>
  <c r="B8" i="9"/>
  <c r="B41" i="8"/>
  <c r="B32" i="8"/>
  <c r="B30" i="8"/>
  <c r="D39" i="4" s="1"/>
  <c r="B15" i="8"/>
  <c r="E27" i="7"/>
  <c r="D27" i="7"/>
  <c r="AH36" i="4" s="1"/>
  <c r="E25" i="7"/>
  <c r="D25" i="7"/>
  <c r="C25" i="7"/>
  <c r="B25" i="7"/>
  <c r="C24" i="7"/>
  <c r="B24" i="7"/>
  <c r="E20" i="7"/>
  <c r="D20" i="7"/>
  <c r="C20" i="7"/>
  <c r="B20" i="7"/>
  <c r="B41" i="7" s="1"/>
  <c r="D41" i="6"/>
  <c r="M50" i="4" s="1"/>
  <c r="E27" i="6"/>
  <c r="D27" i="6"/>
  <c r="E25" i="6"/>
  <c r="E41" i="6" s="1"/>
  <c r="D25" i="6"/>
  <c r="C25" i="6"/>
  <c r="B25" i="6"/>
  <c r="C24" i="6"/>
  <c r="B24" i="6"/>
  <c r="E20" i="6"/>
  <c r="D20" i="6"/>
  <c r="C20" i="6"/>
  <c r="B20" i="6"/>
  <c r="B41" i="6" s="1"/>
  <c r="K50" i="4" s="1"/>
  <c r="E41" i="5"/>
  <c r="D41" i="5"/>
  <c r="C41" i="5"/>
  <c r="B41" i="5"/>
  <c r="BU49" i="4"/>
  <c r="BH49" i="4"/>
  <c r="AP49" i="4"/>
  <c r="AO49" i="4"/>
  <c r="AN49" i="4"/>
  <c r="AM49" i="4"/>
  <c r="AI49" i="4"/>
  <c r="AH49" i="4"/>
  <c r="AG49" i="4"/>
  <c r="AF49" i="4"/>
  <c r="AB49" i="4"/>
  <c r="AA49" i="4"/>
  <c r="Z49" i="4"/>
  <c r="Y49" i="4"/>
  <c r="U49" i="4"/>
  <c r="T49" i="4"/>
  <c r="S49" i="4"/>
  <c r="R49" i="4"/>
  <c r="N49" i="4"/>
  <c r="M49" i="4"/>
  <c r="L49" i="4"/>
  <c r="K49" i="4"/>
  <c r="G49" i="4"/>
  <c r="F49" i="4"/>
  <c r="E49" i="4"/>
  <c r="D49" i="4"/>
  <c r="BH48" i="4"/>
  <c r="BU48" i="4" s="1"/>
  <c r="AP48" i="4"/>
  <c r="AO48" i="4"/>
  <c r="AN48" i="4"/>
  <c r="AM48" i="4"/>
  <c r="AI48" i="4"/>
  <c r="AH48" i="4"/>
  <c r="AG48" i="4"/>
  <c r="AF48" i="4"/>
  <c r="AB48" i="4"/>
  <c r="AA48" i="4"/>
  <c r="Z48" i="4"/>
  <c r="Y48" i="4"/>
  <c r="U48" i="4"/>
  <c r="T48" i="4"/>
  <c r="S48" i="4"/>
  <c r="R48" i="4"/>
  <c r="N48" i="4"/>
  <c r="M48" i="4"/>
  <c r="L48" i="4"/>
  <c r="K48" i="4"/>
  <c r="G48" i="4"/>
  <c r="F48" i="4"/>
  <c r="E48" i="4"/>
  <c r="D48" i="4"/>
  <c r="BH47" i="4"/>
  <c r="BU47" i="4" s="1"/>
  <c r="AP47" i="4"/>
  <c r="AO47" i="4"/>
  <c r="AN47" i="4"/>
  <c r="AM47" i="4"/>
  <c r="AI47" i="4"/>
  <c r="AH47" i="4"/>
  <c r="AG47" i="4"/>
  <c r="AF47" i="4"/>
  <c r="AB47" i="4"/>
  <c r="AA47" i="4"/>
  <c r="Z47" i="4"/>
  <c r="Y47" i="4"/>
  <c r="U47" i="4"/>
  <c r="T47" i="4"/>
  <c r="S47" i="4"/>
  <c r="R47" i="4"/>
  <c r="N47" i="4"/>
  <c r="M47" i="4"/>
  <c r="L47" i="4"/>
  <c r="K47" i="4"/>
  <c r="G47" i="4"/>
  <c r="F47" i="4"/>
  <c r="E47" i="4"/>
  <c r="D47" i="4"/>
  <c r="BH46" i="4"/>
  <c r="BU46" i="4" s="1"/>
  <c r="AP46" i="4"/>
  <c r="AO46" i="4"/>
  <c r="AN46" i="4"/>
  <c r="AM46" i="4"/>
  <c r="AI46" i="4"/>
  <c r="AH46" i="4"/>
  <c r="AG46" i="4"/>
  <c r="AF46" i="4"/>
  <c r="AB46" i="4"/>
  <c r="AA46" i="4"/>
  <c r="Z46" i="4"/>
  <c r="Y46" i="4"/>
  <c r="U46" i="4"/>
  <c r="T46" i="4"/>
  <c r="S46" i="4"/>
  <c r="R46" i="4"/>
  <c r="N46" i="4"/>
  <c r="M46" i="4"/>
  <c r="L46" i="4"/>
  <c r="K46" i="4"/>
  <c r="G46" i="4"/>
  <c r="F46" i="4"/>
  <c r="E46" i="4"/>
  <c r="D46" i="4"/>
  <c r="BH45" i="4"/>
  <c r="AP45" i="4"/>
  <c r="AO45" i="4"/>
  <c r="AN45" i="4"/>
  <c r="AM45" i="4"/>
  <c r="AI45" i="4"/>
  <c r="AH45" i="4"/>
  <c r="AG45" i="4"/>
  <c r="AF45" i="4"/>
  <c r="AB45" i="4"/>
  <c r="AA45" i="4"/>
  <c r="Z45" i="4"/>
  <c r="Y45" i="4"/>
  <c r="U45" i="4"/>
  <c r="T45" i="4"/>
  <c r="S45" i="4"/>
  <c r="R45" i="4"/>
  <c r="N45" i="4"/>
  <c r="M45" i="4"/>
  <c r="L45" i="4"/>
  <c r="K45" i="4"/>
  <c r="G45" i="4"/>
  <c r="F45" i="4"/>
  <c r="E45" i="4"/>
  <c r="D45" i="4"/>
  <c r="BH44" i="4"/>
  <c r="BU44" i="4" s="1"/>
  <c r="AP44" i="4"/>
  <c r="AO44" i="4"/>
  <c r="AN44" i="4"/>
  <c r="AM44" i="4"/>
  <c r="AI44" i="4"/>
  <c r="AH44" i="4"/>
  <c r="AG44" i="4"/>
  <c r="AF44" i="4"/>
  <c r="AB44" i="4"/>
  <c r="AA44" i="4"/>
  <c r="Z44" i="4"/>
  <c r="Y44" i="4"/>
  <c r="U44" i="4"/>
  <c r="T44" i="4"/>
  <c r="S44" i="4"/>
  <c r="R44" i="4"/>
  <c r="N44" i="4"/>
  <c r="M44" i="4"/>
  <c r="L44" i="4"/>
  <c r="K44" i="4"/>
  <c r="G44" i="4"/>
  <c r="F44" i="4"/>
  <c r="E44" i="4"/>
  <c r="D44" i="4"/>
  <c r="BH43" i="4"/>
  <c r="BU43" i="4" s="1"/>
  <c r="AP43" i="4"/>
  <c r="AO43" i="4"/>
  <c r="AN43" i="4"/>
  <c r="AM43" i="4"/>
  <c r="AI43" i="4"/>
  <c r="AH43" i="4"/>
  <c r="AG43" i="4"/>
  <c r="AF43" i="4"/>
  <c r="AB43" i="4"/>
  <c r="AA43" i="4"/>
  <c r="Z43" i="4"/>
  <c r="Y43" i="4"/>
  <c r="U43" i="4"/>
  <c r="T43" i="4"/>
  <c r="S43" i="4"/>
  <c r="R43" i="4"/>
  <c r="N43" i="4"/>
  <c r="M43" i="4"/>
  <c r="L43" i="4"/>
  <c r="K43" i="4"/>
  <c r="G43" i="4"/>
  <c r="F43" i="4"/>
  <c r="E43" i="4"/>
  <c r="D43" i="4"/>
  <c r="BH42" i="4"/>
  <c r="BU42" i="4" s="1"/>
  <c r="AP42" i="4"/>
  <c r="AO42" i="4"/>
  <c r="AN42" i="4"/>
  <c r="AM42" i="4"/>
  <c r="AI42" i="4"/>
  <c r="AH42" i="4"/>
  <c r="AG42" i="4"/>
  <c r="AF42" i="4"/>
  <c r="AB42" i="4"/>
  <c r="AA42" i="4"/>
  <c r="Z42" i="4"/>
  <c r="Y42" i="4"/>
  <c r="U42" i="4"/>
  <c r="T42" i="4"/>
  <c r="S42" i="4"/>
  <c r="R42" i="4"/>
  <c r="N42" i="4"/>
  <c r="M42" i="4"/>
  <c r="L42" i="4"/>
  <c r="K42" i="4"/>
  <c r="G42" i="4"/>
  <c r="F42" i="4"/>
  <c r="E42" i="4"/>
  <c r="D42" i="4"/>
  <c r="BH41" i="4"/>
  <c r="AP41" i="4"/>
  <c r="AO41" i="4"/>
  <c r="AN41" i="4"/>
  <c r="AM41" i="4"/>
  <c r="AI41" i="4"/>
  <c r="AH41" i="4"/>
  <c r="AG41" i="4"/>
  <c r="AF41" i="4"/>
  <c r="AB41" i="4"/>
  <c r="AA41" i="4"/>
  <c r="Z41" i="4"/>
  <c r="Y41" i="4"/>
  <c r="U41" i="4"/>
  <c r="T41" i="4"/>
  <c r="S41" i="4"/>
  <c r="R41" i="4"/>
  <c r="N41" i="4"/>
  <c r="M41" i="4"/>
  <c r="L41" i="4"/>
  <c r="K41" i="4"/>
  <c r="G41" i="4"/>
  <c r="F41" i="4"/>
  <c r="E41" i="4"/>
  <c r="D41" i="4"/>
  <c r="BU40" i="4"/>
  <c r="BH40" i="4"/>
  <c r="AP40" i="4"/>
  <c r="AO40" i="4"/>
  <c r="AN40" i="4"/>
  <c r="AM40" i="4"/>
  <c r="AI40" i="4"/>
  <c r="AH40" i="4"/>
  <c r="AG40" i="4"/>
  <c r="AF40" i="4"/>
  <c r="AB40" i="4"/>
  <c r="AA40" i="4"/>
  <c r="Z40" i="4"/>
  <c r="Y40" i="4"/>
  <c r="U40" i="4"/>
  <c r="T40" i="4"/>
  <c r="S40" i="4"/>
  <c r="R40" i="4"/>
  <c r="N40" i="4"/>
  <c r="M40" i="4"/>
  <c r="L40" i="4"/>
  <c r="K40" i="4"/>
  <c r="G40" i="4"/>
  <c r="F40" i="4"/>
  <c r="E40" i="4"/>
  <c r="D40" i="4"/>
  <c r="BH39" i="4"/>
  <c r="BU39" i="4" s="1"/>
  <c r="AP39" i="4"/>
  <c r="AO39" i="4"/>
  <c r="AN39" i="4"/>
  <c r="AM39" i="4"/>
  <c r="AI39" i="4"/>
  <c r="AH39" i="4"/>
  <c r="AG39" i="4"/>
  <c r="AF39" i="4"/>
  <c r="AB39" i="4"/>
  <c r="AA39" i="4"/>
  <c r="Z39" i="4"/>
  <c r="Y39" i="4"/>
  <c r="U39" i="4"/>
  <c r="T39" i="4"/>
  <c r="S39" i="4"/>
  <c r="R39" i="4"/>
  <c r="N39" i="4"/>
  <c r="M39" i="4"/>
  <c r="L39" i="4"/>
  <c r="K39" i="4"/>
  <c r="G39" i="4"/>
  <c r="F39" i="4"/>
  <c r="E39" i="4"/>
  <c r="BH38" i="4"/>
  <c r="AP38" i="4"/>
  <c r="AO38" i="4"/>
  <c r="AN38" i="4"/>
  <c r="AM38" i="4"/>
  <c r="AI38" i="4"/>
  <c r="AH38" i="4"/>
  <c r="AG38" i="4"/>
  <c r="AF38" i="4"/>
  <c r="AB38" i="4"/>
  <c r="AA38" i="4"/>
  <c r="Z38" i="4"/>
  <c r="Y38" i="4"/>
  <c r="U38" i="4"/>
  <c r="T38" i="4"/>
  <c r="S38" i="4"/>
  <c r="R38" i="4"/>
  <c r="N38" i="4"/>
  <c r="M38" i="4"/>
  <c r="L38" i="4"/>
  <c r="K38" i="4"/>
  <c r="G38" i="4"/>
  <c r="F38" i="4"/>
  <c r="E38" i="4"/>
  <c r="D38" i="4"/>
  <c r="BH37" i="4"/>
  <c r="AP37" i="4"/>
  <c r="AO37" i="4"/>
  <c r="AN37" i="4"/>
  <c r="AM37" i="4"/>
  <c r="AI37" i="4"/>
  <c r="AH37" i="4"/>
  <c r="AG37" i="4"/>
  <c r="AF37" i="4"/>
  <c r="AB37" i="4"/>
  <c r="AA37" i="4"/>
  <c r="Z37" i="4"/>
  <c r="Y37" i="4"/>
  <c r="U37" i="4"/>
  <c r="T37" i="4"/>
  <c r="S37" i="4"/>
  <c r="R37" i="4"/>
  <c r="N37" i="4"/>
  <c r="M37" i="4"/>
  <c r="L37" i="4"/>
  <c r="K37" i="4"/>
  <c r="G37" i="4"/>
  <c r="F37" i="4"/>
  <c r="E37" i="4"/>
  <c r="D37" i="4"/>
  <c r="BU36" i="4"/>
  <c r="BH36" i="4"/>
  <c r="AP36" i="4"/>
  <c r="AO36" i="4"/>
  <c r="AN36" i="4"/>
  <c r="AM36" i="4"/>
  <c r="AI36" i="4"/>
  <c r="AG36" i="4"/>
  <c r="AF36" i="4"/>
  <c r="AB36" i="4"/>
  <c r="AA36" i="4"/>
  <c r="Z36" i="4"/>
  <c r="Y36" i="4"/>
  <c r="U36" i="4"/>
  <c r="T36" i="4"/>
  <c r="S36" i="4"/>
  <c r="R36" i="4"/>
  <c r="N36" i="4"/>
  <c r="M36" i="4"/>
  <c r="L36" i="4"/>
  <c r="K36" i="4"/>
  <c r="G36" i="4"/>
  <c r="F36" i="4"/>
  <c r="E36" i="4"/>
  <c r="D36" i="4"/>
  <c r="BH35" i="4"/>
  <c r="BU35" i="4" s="1"/>
  <c r="AP35" i="4"/>
  <c r="AO35" i="4"/>
  <c r="AN35" i="4"/>
  <c r="AM35" i="4"/>
  <c r="AI35" i="4"/>
  <c r="AH35" i="4"/>
  <c r="AG35" i="4"/>
  <c r="AF35" i="4"/>
  <c r="AB35" i="4"/>
  <c r="AA35" i="4"/>
  <c r="Z35" i="4"/>
  <c r="Y35" i="4"/>
  <c r="U35" i="4"/>
  <c r="T35" i="4"/>
  <c r="S35" i="4"/>
  <c r="R35" i="4"/>
  <c r="N35" i="4"/>
  <c r="M35" i="4"/>
  <c r="L35" i="4"/>
  <c r="K35" i="4"/>
  <c r="G35" i="4"/>
  <c r="F35" i="4"/>
  <c r="E35" i="4"/>
  <c r="D35" i="4"/>
  <c r="BH34" i="4"/>
  <c r="AP34" i="4"/>
  <c r="AO34" i="4"/>
  <c r="AN34" i="4"/>
  <c r="AM34" i="4"/>
  <c r="AI34" i="4"/>
  <c r="AH34" i="4"/>
  <c r="AG34" i="4"/>
  <c r="AF34" i="4"/>
  <c r="AB34" i="4"/>
  <c r="AA34" i="4"/>
  <c r="Z34" i="4"/>
  <c r="Y34" i="4"/>
  <c r="U34" i="4"/>
  <c r="T34" i="4"/>
  <c r="S34" i="4"/>
  <c r="R34" i="4"/>
  <c r="N34" i="4"/>
  <c r="M34" i="4"/>
  <c r="L34" i="4"/>
  <c r="K34" i="4"/>
  <c r="G34" i="4"/>
  <c r="F34" i="4"/>
  <c r="E34" i="4"/>
  <c r="D34" i="4"/>
  <c r="BH33" i="4"/>
  <c r="AP33" i="4"/>
  <c r="AO33" i="4"/>
  <c r="AN33" i="4"/>
  <c r="AM33" i="4"/>
  <c r="AI33" i="4"/>
  <c r="AH33" i="4"/>
  <c r="AG33" i="4"/>
  <c r="AF33" i="4"/>
  <c r="AB33" i="4"/>
  <c r="AA33" i="4"/>
  <c r="Z33" i="4"/>
  <c r="Y33" i="4"/>
  <c r="U33" i="4"/>
  <c r="T33" i="4"/>
  <c r="S33" i="4"/>
  <c r="R33" i="4"/>
  <c r="N33" i="4"/>
  <c r="M33" i="4"/>
  <c r="L33" i="4"/>
  <c r="K33" i="4"/>
  <c r="G33" i="4"/>
  <c r="F33" i="4"/>
  <c r="E33" i="4"/>
  <c r="D33" i="4"/>
  <c r="BH32" i="4"/>
  <c r="BU32" i="4" s="1"/>
  <c r="AP32" i="4"/>
  <c r="AO32" i="4"/>
  <c r="AN32" i="4"/>
  <c r="AM32" i="4"/>
  <c r="AI32" i="4"/>
  <c r="AH32" i="4"/>
  <c r="AG32" i="4"/>
  <c r="AF32" i="4"/>
  <c r="AB32" i="4"/>
  <c r="AA32" i="4"/>
  <c r="Z32" i="4"/>
  <c r="Y32" i="4"/>
  <c r="U32" i="4"/>
  <c r="T32" i="4"/>
  <c r="S32" i="4"/>
  <c r="R32" i="4"/>
  <c r="N32" i="4"/>
  <c r="M32" i="4"/>
  <c r="L32" i="4"/>
  <c r="K32" i="4"/>
  <c r="G32" i="4"/>
  <c r="F32" i="4"/>
  <c r="E32" i="4"/>
  <c r="D32" i="4"/>
  <c r="BH31" i="4"/>
  <c r="AP31" i="4"/>
  <c r="AO31" i="4"/>
  <c r="AN31" i="4"/>
  <c r="AM31" i="4"/>
  <c r="AI31" i="4"/>
  <c r="AH31" i="4"/>
  <c r="AG31" i="4"/>
  <c r="AF31" i="4"/>
  <c r="AB31" i="4"/>
  <c r="AA31" i="4"/>
  <c r="Z31" i="4"/>
  <c r="Y31" i="4"/>
  <c r="U31" i="4"/>
  <c r="T31" i="4"/>
  <c r="S31" i="4"/>
  <c r="R31" i="4"/>
  <c r="N31" i="4"/>
  <c r="M31" i="4"/>
  <c r="L31" i="4"/>
  <c r="K31" i="4"/>
  <c r="G31" i="4"/>
  <c r="F31" i="4"/>
  <c r="E31" i="4"/>
  <c r="D31" i="4"/>
  <c r="BU30" i="4"/>
  <c r="BH30" i="4"/>
  <c r="AP30" i="4"/>
  <c r="AO30" i="4"/>
  <c r="AN30" i="4"/>
  <c r="AM30" i="4"/>
  <c r="AI30" i="4"/>
  <c r="AH30" i="4"/>
  <c r="AG30" i="4"/>
  <c r="AF30" i="4"/>
  <c r="AB30" i="4"/>
  <c r="AA30" i="4"/>
  <c r="Z30" i="4"/>
  <c r="Y30" i="4"/>
  <c r="U30" i="4"/>
  <c r="T30" i="4"/>
  <c r="S30" i="4"/>
  <c r="R30" i="4"/>
  <c r="N30" i="4"/>
  <c r="M30" i="4"/>
  <c r="L30" i="4"/>
  <c r="K30" i="4"/>
  <c r="G30" i="4"/>
  <c r="F30" i="4"/>
  <c r="E30" i="4"/>
  <c r="D30" i="4"/>
  <c r="BH29" i="4"/>
  <c r="AP29" i="4"/>
  <c r="AO29" i="4"/>
  <c r="AN29" i="4"/>
  <c r="AM29" i="4"/>
  <c r="AI29" i="4"/>
  <c r="AH29" i="4"/>
  <c r="AG29" i="4"/>
  <c r="AF29" i="4"/>
  <c r="AB29" i="4"/>
  <c r="AA29" i="4"/>
  <c r="Y29" i="4"/>
  <c r="U29" i="4"/>
  <c r="T29" i="4"/>
  <c r="S29" i="4"/>
  <c r="R29" i="4"/>
  <c r="N29" i="4"/>
  <c r="M29" i="4"/>
  <c r="L29" i="4"/>
  <c r="K29" i="4"/>
  <c r="G29" i="4"/>
  <c r="F29" i="4"/>
  <c r="E29" i="4"/>
  <c r="D29" i="4"/>
  <c r="BU28" i="4"/>
  <c r="BH28" i="4"/>
  <c r="AP28" i="4"/>
  <c r="AO28" i="4"/>
  <c r="AN28" i="4"/>
  <c r="AM28" i="4"/>
  <c r="AI28" i="4"/>
  <c r="AH28" i="4"/>
  <c r="AG28" i="4"/>
  <c r="AF28" i="4"/>
  <c r="AB28" i="4"/>
  <c r="AA28" i="4"/>
  <c r="Z28" i="4"/>
  <c r="Y28" i="4"/>
  <c r="U28" i="4"/>
  <c r="T28" i="4"/>
  <c r="S28" i="4"/>
  <c r="R28" i="4"/>
  <c r="N28" i="4"/>
  <c r="M28" i="4"/>
  <c r="L28" i="4"/>
  <c r="K28" i="4"/>
  <c r="G28" i="4"/>
  <c r="F28" i="4"/>
  <c r="E28" i="4"/>
  <c r="D28" i="4"/>
  <c r="BH27" i="4"/>
  <c r="BU27" i="4" s="1"/>
  <c r="AP27" i="4"/>
  <c r="AO27" i="4"/>
  <c r="AN27" i="4"/>
  <c r="AM27" i="4"/>
  <c r="AI27" i="4"/>
  <c r="AH27" i="4"/>
  <c r="AG27" i="4"/>
  <c r="AF27" i="4"/>
  <c r="AB27" i="4"/>
  <c r="AA27" i="4"/>
  <c r="Z27" i="4"/>
  <c r="Y27" i="4"/>
  <c r="U27" i="4"/>
  <c r="T27" i="4"/>
  <c r="S27" i="4"/>
  <c r="R27" i="4"/>
  <c r="N27" i="4"/>
  <c r="M27" i="4"/>
  <c r="L27" i="4"/>
  <c r="K27" i="4"/>
  <c r="G27" i="4"/>
  <c r="F27" i="4"/>
  <c r="E27" i="4"/>
  <c r="D27" i="4"/>
  <c r="BH26" i="4"/>
  <c r="BU26" i="4" s="1"/>
  <c r="AP26" i="4"/>
  <c r="AO26" i="4"/>
  <c r="AN26" i="4"/>
  <c r="AM26" i="4"/>
  <c r="AI26" i="4"/>
  <c r="AH26" i="4"/>
  <c r="AG26" i="4"/>
  <c r="AF26" i="4"/>
  <c r="AB26" i="4"/>
  <c r="AA26" i="4"/>
  <c r="Z26" i="4"/>
  <c r="Y26" i="4"/>
  <c r="U26" i="4"/>
  <c r="T26" i="4"/>
  <c r="S26" i="4"/>
  <c r="R26" i="4"/>
  <c r="N26" i="4"/>
  <c r="M26" i="4"/>
  <c r="L26" i="4"/>
  <c r="K26" i="4"/>
  <c r="G26" i="4"/>
  <c r="F26" i="4"/>
  <c r="E26" i="4"/>
  <c r="D26" i="4"/>
  <c r="BH25" i="4"/>
  <c r="BU25" i="4" s="1"/>
  <c r="AP25" i="4"/>
  <c r="AO25" i="4"/>
  <c r="AN25" i="4"/>
  <c r="AM25" i="4"/>
  <c r="AI25" i="4"/>
  <c r="AH25" i="4"/>
  <c r="AG25" i="4"/>
  <c r="AF25" i="4"/>
  <c r="AB25" i="4"/>
  <c r="AA25" i="4"/>
  <c r="Z25" i="4"/>
  <c r="Y25" i="4"/>
  <c r="U25" i="4"/>
  <c r="T25" i="4"/>
  <c r="S25" i="4"/>
  <c r="R25" i="4"/>
  <c r="N25" i="4"/>
  <c r="M25" i="4"/>
  <c r="L25" i="4"/>
  <c r="K25" i="4"/>
  <c r="G25" i="4"/>
  <c r="F25" i="4"/>
  <c r="E25" i="4"/>
  <c r="D25" i="4"/>
  <c r="BH24" i="4"/>
  <c r="AP24" i="4"/>
  <c r="AO24" i="4"/>
  <c r="AN24" i="4"/>
  <c r="AM24" i="4"/>
  <c r="AI24" i="4"/>
  <c r="AH24" i="4"/>
  <c r="AG24" i="4"/>
  <c r="AF24" i="4"/>
  <c r="AB24" i="4"/>
  <c r="AA24" i="4"/>
  <c r="Z24" i="4"/>
  <c r="Y24" i="4"/>
  <c r="U24" i="4"/>
  <c r="T24" i="4"/>
  <c r="S24" i="4"/>
  <c r="R24" i="4"/>
  <c r="N24" i="4"/>
  <c r="M24" i="4"/>
  <c r="L24" i="4"/>
  <c r="K24" i="4"/>
  <c r="G24" i="4"/>
  <c r="F24" i="4"/>
  <c r="E24" i="4"/>
  <c r="D24" i="4"/>
  <c r="BH23" i="4"/>
  <c r="BU23" i="4" s="1"/>
  <c r="AP23" i="4"/>
  <c r="AO23" i="4"/>
  <c r="AN23" i="4"/>
  <c r="AM23" i="4"/>
  <c r="AI23" i="4"/>
  <c r="AH23" i="4"/>
  <c r="AG23" i="4"/>
  <c r="AF23" i="4"/>
  <c r="AB23" i="4"/>
  <c r="AA23" i="4"/>
  <c r="Z23" i="4"/>
  <c r="Y23" i="4"/>
  <c r="U23" i="4"/>
  <c r="T23" i="4"/>
  <c r="S23" i="4"/>
  <c r="R23" i="4"/>
  <c r="N23" i="4"/>
  <c r="M23" i="4"/>
  <c r="L23" i="4"/>
  <c r="K23" i="4"/>
  <c r="G23" i="4"/>
  <c r="F23" i="4"/>
  <c r="E23" i="4"/>
  <c r="D23" i="4"/>
  <c r="BH22" i="4"/>
  <c r="AP22" i="4"/>
  <c r="AO22" i="4"/>
  <c r="AN22" i="4"/>
  <c r="AM22" i="4"/>
  <c r="AI22" i="4"/>
  <c r="AH22" i="4"/>
  <c r="AG22" i="4"/>
  <c r="AF22" i="4"/>
  <c r="AB22" i="4"/>
  <c r="AA22" i="4"/>
  <c r="Z22" i="4"/>
  <c r="Y22" i="4"/>
  <c r="U22" i="4"/>
  <c r="T22" i="4"/>
  <c r="S22" i="4"/>
  <c r="R22" i="4"/>
  <c r="N22" i="4"/>
  <c r="M22" i="4"/>
  <c r="L22" i="4"/>
  <c r="K22" i="4"/>
  <c r="G22" i="4"/>
  <c r="F22" i="4"/>
  <c r="E22" i="4"/>
  <c r="D22" i="4"/>
  <c r="BH21" i="4"/>
  <c r="AP21" i="4"/>
  <c r="AO21" i="4"/>
  <c r="AN21" i="4"/>
  <c r="AM21" i="4"/>
  <c r="AI21" i="4"/>
  <c r="AH21" i="4"/>
  <c r="AG21" i="4"/>
  <c r="AF21" i="4"/>
  <c r="AB21" i="4"/>
  <c r="AA21" i="4"/>
  <c r="Z21" i="4"/>
  <c r="Y21" i="4"/>
  <c r="U21" i="4"/>
  <c r="T21" i="4"/>
  <c r="S21" i="4"/>
  <c r="R21" i="4"/>
  <c r="N21" i="4"/>
  <c r="M21" i="4"/>
  <c r="L21" i="4"/>
  <c r="K21" i="4"/>
  <c r="G21" i="4"/>
  <c r="F21" i="4"/>
  <c r="E21" i="4"/>
  <c r="D21" i="4"/>
  <c r="BH20" i="4"/>
  <c r="BU20" i="4" s="1"/>
  <c r="AP20" i="4"/>
  <c r="AO20" i="4"/>
  <c r="AN20" i="4"/>
  <c r="AM20" i="4"/>
  <c r="AI20" i="4"/>
  <c r="AH20" i="4"/>
  <c r="AG20" i="4"/>
  <c r="AF20" i="4"/>
  <c r="AB20" i="4"/>
  <c r="AA20" i="4"/>
  <c r="Z20" i="4"/>
  <c r="Y20" i="4"/>
  <c r="U20" i="4"/>
  <c r="T20" i="4"/>
  <c r="S20" i="4"/>
  <c r="R20" i="4"/>
  <c r="N20" i="4"/>
  <c r="M20" i="4"/>
  <c r="L20" i="4"/>
  <c r="K20" i="4"/>
  <c r="G20" i="4"/>
  <c r="F20" i="4"/>
  <c r="E20" i="4"/>
  <c r="D20" i="4"/>
  <c r="BH19" i="4"/>
  <c r="BU19" i="4" s="1"/>
  <c r="AP19" i="4"/>
  <c r="AO19" i="4"/>
  <c r="AN19" i="4"/>
  <c r="AM19" i="4"/>
  <c r="AI19" i="4"/>
  <c r="AH19" i="4"/>
  <c r="AG19" i="4"/>
  <c r="AF19" i="4"/>
  <c r="AB19" i="4"/>
  <c r="AA19" i="4"/>
  <c r="Z19" i="4"/>
  <c r="Y19" i="4"/>
  <c r="U19" i="4"/>
  <c r="T19" i="4"/>
  <c r="S19" i="4"/>
  <c r="R19" i="4"/>
  <c r="N19" i="4"/>
  <c r="M19" i="4"/>
  <c r="L19" i="4"/>
  <c r="K19" i="4"/>
  <c r="G19" i="4"/>
  <c r="F19" i="4"/>
  <c r="E19" i="4"/>
  <c r="D19" i="4"/>
  <c r="BH18" i="4"/>
  <c r="BU18" i="4" s="1"/>
  <c r="AP18" i="4"/>
  <c r="AO18" i="4"/>
  <c r="AN18" i="4"/>
  <c r="AM18" i="4"/>
  <c r="AI18" i="4"/>
  <c r="AH18" i="4"/>
  <c r="AG18" i="4"/>
  <c r="AF18" i="4"/>
  <c r="AB18" i="4"/>
  <c r="AA18" i="4"/>
  <c r="Z18" i="4"/>
  <c r="Y18" i="4"/>
  <c r="U18" i="4"/>
  <c r="T18" i="4"/>
  <c r="S18" i="4"/>
  <c r="R18" i="4"/>
  <c r="N18" i="4"/>
  <c r="M18" i="4"/>
  <c r="L18" i="4"/>
  <c r="K18" i="4"/>
  <c r="G18" i="4"/>
  <c r="F18" i="4"/>
  <c r="E18" i="4"/>
  <c r="D18" i="4"/>
  <c r="BH17" i="4"/>
  <c r="AP17" i="4"/>
  <c r="AO17" i="4"/>
  <c r="AN17" i="4"/>
  <c r="AM17" i="4"/>
  <c r="AI17" i="4"/>
  <c r="AH17" i="4"/>
  <c r="AG17" i="4"/>
  <c r="AF17" i="4"/>
  <c r="AB17" i="4"/>
  <c r="AA17" i="4"/>
  <c r="Z17" i="4"/>
  <c r="Y17" i="4"/>
  <c r="U17" i="4"/>
  <c r="T17" i="4"/>
  <c r="S17" i="4"/>
  <c r="R17" i="4"/>
  <c r="N17" i="4"/>
  <c r="M17" i="4"/>
  <c r="L17" i="4"/>
  <c r="K17" i="4"/>
  <c r="G17" i="4"/>
  <c r="F17" i="4"/>
  <c r="E17" i="4"/>
  <c r="D17" i="4"/>
  <c r="BH16" i="4"/>
  <c r="BU16" i="4" s="1"/>
  <c r="AP16" i="4"/>
  <c r="AO16" i="4"/>
  <c r="AN16" i="4"/>
  <c r="AM16" i="4"/>
  <c r="AI16" i="4"/>
  <c r="AH16" i="4"/>
  <c r="AG16" i="4"/>
  <c r="AF16" i="4"/>
  <c r="AB16" i="4"/>
  <c r="AA16" i="4"/>
  <c r="Z16" i="4"/>
  <c r="Y16" i="4"/>
  <c r="U16" i="4"/>
  <c r="T16" i="4"/>
  <c r="S16" i="4"/>
  <c r="R16" i="4"/>
  <c r="N16" i="4"/>
  <c r="M16" i="4"/>
  <c r="L16" i="4"/>
  <c r="K16" i="4"/>
  <c r="G16" i="4"/>
  <c r="F16" i="4"/>
  <c r="E16" i="4"/>
  <c r="D16" i="4"/>
  <c r="BH15" i="4"/>
  <c r="BU15" i="4" s="1"/>
  <c r="AP15" i="4"/>
  <c r="AO15" i="4"/>
  <c r="AN15" i="4"/>
  <c r="AM15" i="4"/>
  <c r="AI15" i="4"/>
  <c r="AH15" i="4"/>
  <c r="AG15" i="4"/>
  <c r="AF15" i="4"/>
  <c r="AB15" i="4"/>
  <c r="AA15" i="4"/>
  <c r="Z15" i="4"/>
  <c r="Y15" i="4"/>
  <c r="U15" i="4"/>
  <c r="T15" i="4"/>
  <c r="S15" i="4"/>
  <c r="R15" i="4"/>
  <c r="N15" i="4"/>
  <c r="M15" i="4"/>
  <c r="L15" i="4"/>
  <c r="K15" i="4"/>
  <c r="G15" i="4"/>
  <c r="F15" i="4"/>
  <c r="E15" i="4"/>
  <c r="D15" i="4"/>
  <c r="BH14" i="4"/>
  <c r="BU14" i="4" s="1"/>
  <c r="AP14" i="4"/>
  <c r="AO14" i="4"/>
  <c r="AN14" i="4"/>
  <c r="AM14" i="4"/>
  <c r="AI14" i="4"/>
  <c r="AH14" i="4"/>
  <c r="AG14" i="4"/>
  <c r="AF14" i="4"/>
  <c r="AB14" i="4"/>
  <c r="AA14" i="4"/>
  <c r="Z14" i="4"/>
  <c r="Y14" i="4"/>
  <c r="U14" i="4"/>
  <c r="T14" i="4"/>
  <c r="S14" i="4"/>
  <c r="R14" i="4"/>
  <c r="N14" i="4"/>
  <c r="M14" i="4"/>
  <c r="L14" i="4"/>
  <c r="K14" i="4"/>
  <c r="G14" i="4"/>
  <c r="F14" i="4"/>
  <c r="E14" i="4"/>
  <c r="D14" i="4"/>
  <c r="BU13" i="4"/>
  <c r="BH13" i="4"/>
  <c r="AP13" i="4"/>
  <c r="AO13" i="4"/>
  <c r="AN13" i="4"/>
  <c r="AM13" i="4"/>
  <c r="AI13" i="4"/>
  <c r="AH13" i="4"/>
  <c r="AG13" i="4"/>
  <c r="AF13" i="4"/>
  <c r="AB13" i="4"/>
  <c r="AA13" i="4"/>
  <c r="Z13" i="4"/>
  <c r="Y13" i="4"/>
  <c r="U13" i="4"/>
  <c r="T13" i="4"/>
  <c r="S13" i="4"/>
  <c r="R13" i="4"/>
  <c r="N13" i="4"/>
  <c r="M13" i="4"/>
  <c r="L13" i="4"/>
  <c r="K13" i="4"/>
  <c r="G13" i="4"/>
  <c r="F13" i="4"/>
  <c r="E13" i="4"/>
  <c r="D13" i="4"/>
  <c r="BH12" i="4"/>
  <c r="BU12" i="4" s="1"/>
  <c r="AP12" i="4"/>
  <c r="AO12" i="4"/>
  <c r="AN12" i="4"/>
  <c r="AM12" i="4"/>
  <c r="AI12" i="4"/>
  <c r="AH12" i="4"/>
  <c r="AG12" i="4"/>
  <c r="AF12" i="4"/>
  <c r="AB12" i="4"/>
  <c r="AA12" i="4"/>
  <c r="Z12" i="4"/>
  <c r="Y12" i="4"/>
  <c r="U12" i="4"/>
  <c r="T12" i="4"/>
  <c r="S12" i="4"/>
  <c r="R12" i="4"/>
  <c r="N12" i="4"/>
  <c r="M12" i="4"/>
  <c r="L12" i="4"/>
  <c r="K12" i="4"/>
  <c r="G12" i="4"/>
  <c r="F12" i="4"/>
  <c r="E12" i="4"/>
  <c r="D12" i="4"/>
  <c r="G10" i="4"/>
  <c r="F10" i="4"/>
  <c r="E10" i="4"/>
  <c r="D10" i="4"/>
  <c r="BA8" i="4"/>
  <c r="BA6" i="4"/>
  <c r="AC32" i="10" l="1"/>
  <c r="AJ32" i="10"/>
  <c r="Q34" i="1"/>
  <c r="Q36" i="1"/>
  <c r="Q28" i="1"/>
  <c r="Q31" i="1"/>
  <c r="Q32" i="1"/>
  <c r="Q83" i="1"/>
  <c r="Q33" i="1"/>
  <c r="Q37" i="1"/>
  <c r="Q35" i="1"/>
  <c r="BG49" i="10"/>
  <c r="AH49" i="10"/>
  <c r="AA49" i="10"/>
  <c r="BU24" i="10"/>
  <c r="BM25" i="10"/>
  <c r="BL10" i="10"/>
  <c r="BU20" i="10"/>
  <c r="BU28" i="10"/>
  <c r="AO49" i="10"/>
  <c r="BN44" i="10" s="1"/>
  <c r="BP56" i="10"/>
  <c r="BQ56" i="10" s="1"/>
  <c r="BR56" i="10" s="1"/>
  <c r="BS56" i="10" s="1"/>
  <c r="BT56" i="10" s="1"/>
  <c r="BU56" i="10" s="1"/>
  <c r="BV56" i="10" s="1"/>
  <c r="BW56" i="10" s="1"/>
  <c r="BX56" i="10" s="1"/>
  <c r="BY56" i="10" s="1"/>
  <c r="BZ56" i="10" s="1"/>
  <c r="M49" i="10"/>
  <c r="BL40" i="10" s="1"/>
  <c r="T49" i="10"/>
  <c r="BM18" i="10" s="1"/>
  <c r="BU37" i="10"/>
  <c r="C49" i="10"/>
  <c r="G31" i="10" s="1"/>
  <c r="BM19" i="10"/>
  <c r="BN24" i="10"/>
  <c r="D49" i="10"/>
  <c r="G23" i="10" s="1"/>
  <c r="E49" i="10"/>
  <c r="G48" i="10" s="1"/>
  <c r="BE32" i="10"/>
  <c r="F49" i="10"/>
  <c r="Y49" i="10"/>
  <c r="K49" i="10"/>
  <c r="C43" i="13"/>
  <c r="AF27" i="10"/>
  <c r="R27" i="10"/>
  <c r="BM38" i="10"/>
  <c r="BN39" i="10"/>
  <c r="BU33" i="10"/>
  <c r="BU35" i="10"/>
  <c r="AQ32" i="10"/>
  <c r="BU43" i="10"/>
  <c r="O32" i="10"/>
  <c r="BU45" i="10"/>
  <c r="BN47" i="10"/>
  <c r="N44" i="10"/>
  <c r="B43" i="14"/>
  <c r="BU34" i="10"/>
  <c r="BM44" i="10"/>
  <c r="D43" i="15"/>
  <c r="AG38" i="10"/>
  <c r="BG38" i="10"/>
  <c r="AO40" i="10"/>
  <c r="BG40" i="10"/>
  <c r="AJ15" i="4"/>
  <c r="BU22" i="4"/>
  <c r="BU17" i="4"/>
  <c r="D50" i="4"/>
  <c r="H27" i="4" s="1"/>
  <c r="E50" i="4"/>
  <c r="G50" i="4"/>
  <c r="BU21" i="4"/>
  <c r="BU34" i="4"/>
  <c r="BU24" i="4"/>
  <c r="BO32" i="4"/>
  <c r="BO25" i="4"/>
  <c r="BU29" i="4"/>
  <c r="F50" i="4"/>
  <c r="BO27" i="4"/>
  <c r="BU33" i="4"/>
  <c r="BU38" i="4"/>
  <c r="BU31" i="4"/>
  <c r="C41" i="6"/>
  <c r="Z29" i="4"/>
  <c r="R50" i="4"/>
  <c r="AF50" i="4"/>
  <c r="BU37" i="4"/>
  <c r="AO50" i="4"/>
  <c r="AQ49" i="4" s="1"/>
  <c r="AA50" i="4"/>
  <c r="AH50" i="4"/>
  <c r="BO38" i="4"/>
  <c r="BU41" i="4"/>
  <c r="BO49" i="4"/>
  <c r="AG50" i="4"/>
  <c r="AJ24" i="4" s="1"/>
  <c r="BO39" i="4"/>
  <c r="BM40" i="4"/>
  <c r="AJ46" i="4"/>
  <c r="BU45" i="4"/>
  <c r="N50" i="4"/>
  <c r="BM39" i="4" s="1"/>
  <c r="BH50" i="4"/>
  <c r="AP50" i="4"/>
  <c r="BO18" i="4" s="1"/>
  <c r="AB50" i="4"/>
  <c r="AN50" i="4"/>
  <c r="AQ46" i="4" s="1"/>
  <c r="C41" i="7"/>
  <c r="S50" i="4" s="1"/>
  <c r="BO44" i="4"/>
  <c r="U50" i="4"/>
  <c r="BN37" i="4" s="1"/>
  <c r="D41" i="7"/>
  <c r="T50" i="4" s="1"/>
  <c r="AM50" i="4"/>
  <c r="Y50" i="4"/>
  <c r="E41" i="7"/>
  <c r="AI50" i="4" s="1"/>
  <c r="AQ39" i="4" l="1"/>
  <c r="H32" i="4"/>
  <c r="AJ20" i="4"/>
  <c r="AJ13" i="4"/>
  <c r="AQ45" i="4"/>
  <c r="AQ41" i="4"/>
  <c r="AJ39" i="4"/>
  <c r="AQ25" i="4"/>
  <c r="H19" i="4"/>
  <c r="H16" i="4"/>
  <c r="BN28" i="4"/>
  <c r="AQ42" i="4"/>
  <c r="AJ21" i="4"/>
  <c r="AJ26" i="4"/>
  <c r="BO29" i="4"/>
  <c r="H15" i="4"/>
  <c r="AQ37" i="4"/>
  <c r="AJ43" i="4"/>
  <c r="H42" i="4"/>
  <c r="H28" i="4"/>
  <c r="AJ22" i="4"/>
  <c r="AQ44" i="4"/>
  <c r="BO33" i="4"/>
  <c r="H41" i="4"/>
  <c r="AQ32" i="4"/>
  <c r="BM12" i="4"/>
  <c r="G14" i="10"/>
  <c r="G33" i="10"/>
  <c r="BM39" i="10"/>
  <c r="G45" i="10"/>
  <c r="BM31" i="10"/>
  <c r="BM10" i="10"/>
  <c r="G35" i="10"/>
  <c r="N48" i="10"/>
  <c r="BN28" i="10"/>
  <c r="N43" i="10"/>
  <c r="N41" i="10"/>
  <c r="N35" i="10"/>
  <c r="G19" i="10"/>
  <c r="G44" i="10"/>
  <c r="BL9" i="10"/>
  <c r="BI32" i="10"/>
  <c r="BJ32" i="10" s="1"/>
  <c r="BO32" i="10" s="1"/>
  <c r="N29" i="10"/>
  <c r="BM46" i="10"/>
  <c r="BM32" i="10"/>
  <c r="BM33" i="10"/>
  <c r="BM35" i="10"/>
  <c r="BM42" i="10"/>
  <c r="BM27" i="10"/>
  <c r="BM40" i="10"/>
  <c r="BP40" i="10" s="1"/>
  <c r="BM26" i="10"/>
  <c r="BM34" i="10"/>
  <c r="BM30" i="10"/>
  <c r="BM48" i="10"/>
  <c r="BM29" i="10"/>
  <c r="BM20" i="10"/>
  <c r="BM15" i="10"/>
  <c r="BM16" i="10"/>
  <c r="BM22" i="10"/>
  <c r="BM21" i="10"/>
  <c r="BM17" i="10"/>
  <c r="BM13" i="10"/>
  <c r="BM14" i="10"/>
  <c r="BM9" i="10"/>
  <c r="G17" i="10"/>
  <c r="G43" i="10"/>
  <c r="BN26" i="10"/>
  <c r="G11" i="10"/>
  <c r="BN29" i="10"/>
  <c r="BL28" i="10"/>
  <c r="G37" i="10"/>
  <c r="N27" i="10"/>
  <c r="G12" i="10"/>
  <c r="BL46" i="10"/>
  <c r="N11" i="10"/>
  <c r="BL18" i="10"/>
  <c r="G22" i="10"/>
  <c r="BN11" i="10"/>
  <c r="BU40" i="10"/>
  <c r="BM41" i="10"/>
  <c r="BM47" i="10"/>
  <c r="BM23" i="10"/>
  <c r="BL43" i="10"/>
  <c r="N10" i="10"/>
  <c r="BN9" i="10"/>
  <c r="G24" i="10"/>
  <c r="G39" i="10"/>
  <c r="BN19" i="10"/>
  <c r="BL44" i="10"/>
  <c r="BL38" i="10"/>
  <c r="BL48" i="10"/>
  <c r="BL39" i="10"/>
  <c r="BL41" i="10"/>
  <c r="BL24" i="10"/>
  <c r="BL32" i="10"/>
  <c r="BL35" i="10"/>
  <c r="BL45" i="10"/>
  <c r="BL42" i="10"/>
  <c r="BL31" i="10"/>
  <c r="BL19" i="10"/>
  <c r="BL15" i="10"/>
  <c r="BL34" i="10"/>
  <c r="BL11" i="10"/>
  <c r="BL25" i="10"/>
  <c r="BL20" i="10"/>
  <c r="BL16" i="10"/>
  <c r="BL12" i="10"/>
  <c r="BL22" i="10"/>
  <c r="BL17" i="10"/>
  <c r="BL23" i="10"/>
  <c r="BL14" i="10"/>
  <c r="BN13" i="10"/>
  <c r="BN31" i="10"/>
  <c r="BN12" i="10"/>
  <c r="G38" i="10"/>
  <c r="N47" i="10"/>
  <c r="G9" i="10"/>
  <c r="G18" i="10"/>
  <c r="BL13" i="10"/>
  <c r="N9" i="10"/>
  <c r="BM45" i="10"/>
  <c r="BM11" i="10"/>
  <c r="N30" i="10"/>
  <c r="G21" i="10"/>
  <c r="BN40" i="10"/>
  <c r="BL37" i="10"/>
  <c r="N42" i="10"/>
  <c r="AF49" i="10"/>
  <c r="R49" i="10"/>
  <c r="BL47" i="10"/>
  <c r="N24" i="10"/>
  <c r="G25" i="10"/>
  <c r="G13" i="10"/>
  <c r="G36" i="10"/>
  <c r="G40" i="10"/>
  <c r="BM37" i="10"/>
  <c r="N19" i="10"/>
  <c r="N17" i="10"/>
  <c r="BP10" i="10"/>
  <c r="BN43" i="10"/>
  <c r="BN37" i="10"/>
  <c r="BN48" i="10"/>
  <c r="BN42" i="10"/>
  <c r="BN46" i="10"/>
  <c r="BN36" i="10"/>
  <c r="BN35" i="10"/>
  <c r="BN45" i="10"/>
  <c r="BN38" i="10"/>
  <c r="BN27" i="10"/>
  <c r="BN10" i="10"/>
  <c r="BN30" i="10"/>
  <c r="BN17" i="10"/>
  <c r="BN21" i="10"/>
  <c r="BN23" i="10"/>
  <c r="BN22" i="10"/>
  <c r="BN34" i="10"/>
  <c r="BN14" i="10"/>
  <c r="BN25" i="10"/>
  <c r="N38" i="10"/>
  <c r="BM24" i="10"/>
  <c r="BN20" i="10"/>
  <c r="BU38" i="10"/>
  <c r="BM43" i="10"/>
  <c r="BL30" i="10"/>
  <c r="N45" i="10"/>
  <c r="N39" i="10"/>
  <c r="N36" i="10"/>
  <c r="N25" i="10"/>
  <c r="N34" i="10"/>
  <c r="N26" i="10"/>
  <c r="N33" i="10"/>
  <c r="N28" i="10"/>
  <c r="N22" i="10"/>
  <c r="N13" i="10"/>
  <c r="N46" i="10"/>
  <c r="N31" i="10"/>
  <c r="N40" i="10"/>
  <c r="N21" i="10"/>
  <c r="N20" i="10"/>
  <c r="N18" i="10"/>
  <c r="N23" i="10"/>
  <c r="N14" i="10"/>
  <c r="N12" i="10"/>
  <c r="G30" i="10"/>
  <c r="BL27" i="10"/>
  <c r="G16" i="10"/>
  <c r="G26" i="10"/>
  <c r="G46" i="10"/>
  <c r="BN18" i="10"/>
  <c r="BN16" i="10"/>
  <c r="G42" i="10"/>
  <c r="BL21" i="10"/>
  <c r="BL36" i="10"/>
  <c r="N37" i="10"/>
  <c r="BL29" i="10"/>
  <c r="AB12" i="10"/>
  <c r="BL33" i="10"/>
  <c r="BM28" i="10"/>
  <c r="BN33" i="10"/>
  <c r="G20" i="10"/>
  <c r="G27" i="10"/>
  <c r="G41" i="10"/>
  <c r="N16" i="10"/>
  <c r="BM12" i="10"/>
  <c r="G34" i="10"/>
  <c r="AG49" i="10"/>
  <c r="Z49" i="10"/>
  <c r="AB40" i="10" s="1"/>
  <c r="AN49" i="10"/>
  <c r="BM36" i="10"/>
  <c r="BL26" i="10"/>
  <c r="BN41" i="10"/>
  <c r="G28" i="10"/>
  <c r="G29" i="10"/>
  <c r="G47" i="10"/>
  <c r="G10" i="10"/>
  <c r="V48" i="4"/>
  <c r="V45" i="4"/>
  <c r="V37" i="4"/>
  <c r="V43" i="4"/>
  <c r="V38" i="4"/>
  <c r="V31" i="4"/>
  <c r="V28" i="4"/>
  <c r="V29" i="4"/>
  <c r="V26" i="4"/>
  <c r="V23" i="4"/>
  <c r="V12" i="4"/>
  <c r="V27" i="4"/>
  <c r="V14" i="4"/>
  <c r="V13" i="4"/>
  <c r="V22" i="4"/>
  <c r="V44" i="4"/>
  <c r="V20" i="4"/>
  <c r="V32" i="4"/>
  <c r="V40" i="4"/>
  <c r="V47" i="4"/>
  <c r="V15" i="4"/>
  <c r="V46" i="4"/>
  <c r="V33" i="4"/>
  <c r="V42" i="4"/>
  <c r="V36" i="4"/>
  <c r="V49" i="4"/>
  <c r="V25" i="4"/>
  <c r="V34" i="4"/>
  <c r="V21" i="4"/>
  <c r="V18" i="4"/>
  <c r="V16" i="4"/>
  <c r="V39" i="4"/>
  <c r="V41" i="4"/>
  <c r="V30" i="4"/>
  <c r="V19" i="4"/>
  <c r="V24" i="4"/>
  <c r="V17" i="4"/>
  <c r="V35" i="4"/>
  <c r="BM19" i="4"/>
  <c r="BM42" i="4"/>
  <c r="BM36" i="4"/>
  <c r="BN48" i="4"/>
  <c r="AJ37" i="4"/>
  <c r="BN33" i="4"/>
  <c r="H26" i="4"/>
  <c r="H29" i="4"/>
  <c r="AQ20" i="4"/>
  <c r="BO24" i="4"/>
  <c r="AJ17" i="4"/>
  <c r="BN15" i="4"/>
  <c r="BO17" i="4"/>
  <c r="BM37" i="4"/>
  <c r="AJ32" i="4"/>
  <c r="AJ33" i="4"/>
  <c r="H17" i="4"/>
  <c r="H35" i="4"/>
  <c r="BM22" i="4"/>
  <c r="H20" i="4"/>
  <c r="H23" i="4"/>
  <c r="BO14" i="4"/>
  <c r="BO22" i="4"/>
  <c r="AJ16" i="4"/>
  <c r="BN13" i="4"/>
  <c r="AQ14" i="4"/>
  <c r="H31" i="4"/>
  <c r="BN41" i="4"/>
  <c r="BM49" i="4"/>
  <c r="Z50" i="4"/>
  <c r="AC29" i="4" s="1"/>
  <c r="L50" i="4"/>
  <c r="AJ42" i="4"/>
  <c r="H37" i="4"/>
  <c r="H44" i="4"/>
  <c r="H22" i="4"/>
  <c r="H13" i="4"/>
  <c r="AQ26" i="4"/>
  <c r="BM48" i="4"/>
  <c r="BM46" i="4"/>
  <c r="BM35" i="4"/>
  <c r="BM41" i="4"/>
  <c r="BM38" i="4"/>
  <c r="BM32" i="4"/>
  <c r="BM33" i="4"/>
  <c r="BM29" i="4"/>
  <c r="BM43" i="4"/>
  <c r="BM34" i="4"/>
  <c r="BM31" i="4"/>
  <c r="BM17" i="4"/>
  <c r="BM24" i="4"/>
  <c r="BM16" i="4"/>
  <c r="BM13" i="4"/>
  <c r="BM26" i="4"/>
  <c r="BM21" i="4"/>
  <c r="BM44" i="4"/>
  <c r="BN26" i="4"/>
  <c r="H24" i="4"/>
  <c r="H14" i="4"/>
  <c r="AJ44" i="4"/>
  <c r="AJ49" i="4"/>
  <c r="AJ40" i="4"/>
  <c r="BM28" i="4"/>
  <c r="H47" i="4"/>
  <c r="H40" i="4"/>
  <c r="BN23" i="4"/>
  <c r="H30" i="4"/>
  <c r="BN16" i="4"/>
  <c r="BM20" i="4"/>
  <c r="AJ23" i="4"/>
  <c r="AQ40" i="4"/>
  <c r="AQ38" i="4"/>
  <c r="AQ48" i="4"/>
  <c r="AQ36" i="4"/>
  <c r="AQ47" i="4"/>
  <c r="AQ34" i="4"/>
  <c r="AQ35" i="4"/>
  <c r="AQ28" i="4"/>
  <c r="AQ24" i="4"/>
  <c r="AQ19" i="4"/>
  <c r="AQ18" i="4"/>
  <c r="AQ17" i="4"/>
  <c r="AQ13" i="4"/>
  <c r="BM47" i="4"/>
  <c r="AJ48" i="4"/>
  <c r="AQ43" i="4"/>
  <c r="AQ29" i="4"/>
  <c r="AQ33" i="4"/>
  <c r="H34" i="4"/>
  <c r="H39" i="4"/>
  <c r="AQ22" i="4"/>
  <c r="H18" i="4"/>
  <c r="AQ12" i="4"/>
  <c r="AQ21" i="4"/>
  <c r="AQ15" i="4"/>
  <c r="BM14" i="4"/>
  <c r="BN43" i="4"/>
  <c r="BN45" i="4"/>
  <c r="BN49" i="4"/>
  <c r="BN39" i="4"/>
  <c r="BN47" i="4"/>
  <c r="BN42" i="4"/>
  <c r="BN32" i="4"/>
  <c r="BN35" i="4"/>
  <c r="BN29" i="4"/>
  <c r="BN44" i="4"/>
  <c r="BN31" i="4"/>
  <c r="BN46" i="4"/>
  <c r="BN27" i="4"/>
  <c r="BN34" i="4"/>
  <c r="BN14" i="4"/>
  <c r="BN22" i="4"/>
  <c r="BN17" i="4"/>
  <c r="BN21" i="4"/>
  <c r="BN20" i="4"/>
  <c r="BN12" i="4"/>
  <c r="BN36" i="4"/>
  <c r="H49" i="4"/>
  <c r="H12" i="4"/>
  <c r="AJ45" i="4"/>
  <c r="AJ47" i="4"/>
  <c r="AJ31" i="4"/>
  <c r="AJ25" i="4"/>
  <c r="AJ28" i="4"/>
  <c r="AJ12" i="4"/>
  <c r="H21" i="4"/>
  <c r="BN38" i="4"/>
  <c r="AJ41" i="4"/>
  <c r="BM27" i="4"/>
  <c r="AJ34" i="4"/>
  <c r="H36" i="4"/>
  <c r="H48" i="4"/>
  <c r="BO20" i="4"/>
  <c r="AJ27" i="4"/>
  <c r="BO19" i="4"/>
  <c r="BM15" i="4"/>
  <c r="BN18" i="4"/>
  <c r="BN24" i="4"/>
  <c r="H46" i="4"/>
  <c r="BN19" i="4"/>
  <c r="AJ19" i="4"/>
  <c r="BO42" i="4"/>
  <c r="BO45" i="4"/>
  <c r="BO40" i="4"/>
  <c r="BO47" i="4"/>
  <c r="BO43" i="4"/>
  <c r="BO37" i="4"/>
  <c r="BO35" i="4"/>
  <c r="BO28" i="4"/>
  <c r="BO30" i="4"/>
  <c r="BO31" i="4"/>
  <c r="BO46" i="4"/>
  <c r="BO36" i="4"/>
  <c r="BO34" i="4"/>
  <c r="BO48" i="4"/>
  <c r="BO21" i="4"/>
  <c r="BO26" i="4"/>
  <c r="BO12" i="4"/>
  <c r="BO15" i="4"/>
  <c r="BO16" i="4"/>
  <c r="BO23" i="4"/>
  <c r="AJ38" i="4"/>
  <c r="AQ31" i="4"/>
  <c r="AJ35" i="4"/>
  <c r="BM25" i="4"/>
  <c r="AQ30" i="4"/>
  <c r="AJ30" i="4"/>
  <c r="H33" i="4"/>
  <c r="H45" i="4"/>
  <c r="BM30" i="4"/>
  <c r="BO13" i="4"/>
  <c r="BM18" i="4"/>
  <c r="BM23" i="4"/>
  <c r="BN40" i="4"/>
  <c r="BO41" i="4"/>
  <c r="AJ36" i="4"/>
  <c r="BM45" i="4"/>
  <c r="BN30" i="4"/>
  <c r="AQ23" i="4"/>
  <c r="AQ27" i="4"/>
  <c r="H25" i="4"/>
  <c r="H38" i="4"/>
  <c r="H43" i="4"/>
  <c r="BN25" i="4"/>
  <c r="AJ29" i="4"/>
  <c r="AJ18" i="4"/>
  <c r="AJ14" i="4"/>
  <c r="AQ16" i="4"/>
  <c r="AB31" i="10" l="1"/>
  <c r="H33" i="10"/>
  <c r="AB13" i="10"/>
  <c r="AB11" i="10"/>
  <c r="H47" i="10"/>
  <c r="O47" i="10" s="1"/>
  <c r="AB47" i="10"/>
  <c r="AC47" i="10" s="1"/>
  <c r="AB25" i="10"/>
  <c r="H14" i="10"/>
  <c r="AC14" i="10" s="1"/>
  <c r="AB21" i="10"/>
  <c r="AB46" i="10"/>
  <c r="AB38" i="10"/>
  <c r="AB20" i="10"/>
  <c r="AB34" i="10"/>
  <c r="AB24" i="10"/>
  <c r="AB44" i="10"/>
  <c r="AB16" i="10"/>
  <c r="AB22" i="10"/>
  <c r="AB23" i="10"/>
  <c r="I36" i="4"/>
  <c r="AK36" i="4" s="1"/>
  <c r="I19" i="4"/>
  <c r="BF19" i="4" s="1"/>
  <c r="O33" i="10"/>
  <c r="BE33" i="10"/>
  <c r="BR32" i="10"/>
  <c r="BE14" i="10"/>
  <c r="O14" i="10"/>
  <c r="BP34" i="10"/>
  <c r="BP38" i="10"/>
  <c r="H37" i="10"/>
  <c r="H19" i="10"/>
  <c r="H29" i="10"/>
  <c r="BP36" i="10"/>
  <c r="H40" i="10"/>
  <c r="H21" i="10"/>
  <c r="BP15" i="10"/>
  <c r="BQ15" i="10" s="1"/>
  <c r="BP44" i="10"/>
  <c r="BP28" i="10"/>
  <c r="H28" i="10"/>
  <c r="H41" i="10"/>
  <c r="BP21" i="10"/>
  <c r="H36" i="10"/>
  <c r="H45" i="10"/>
  <c r="BP19" i="10"/>
  <c r="BP17" i="10"/>
  <c r="BP45" i="10"/>
  <c r="H13" i="10"/>
  <c r="H23" i="10"/>
  <c r="BP42" i="10"/>
  <c r="H46" i="10"/>
  <c r="BP30" i="10"/>
  <c r="BP47" i="10"/>
  <c r="BP13" i="10"/>
  <c r="BQ13" i="10" s="1"/>
  <c r="BP22" i="10"/>
  <c r="BQ22" i="10" s="1"/>
  <c r="BP35" i="10"/>
  <c r="H26" i="10"/>
  <c r="U48" i="10"/>
  <c r="U43" i="10"/>
  <c r="U33" i="10"/>
  <c r="U30" i="10"/>
  <c r="U39" i="10"/>
  <c r="U23" i="10"/>
  <c r="U28" i="10"/>
  <c r="U37" i="10"/>
  <c r="U42" i="10"/>
  <c r="U10" i="10"/>
  <c r="U9" i="10"/>
  <c r="U24" i="10"/>
  <c r="U17" i="10"/>
  <c r="U11" i="10"/>
  <c r="U19" i="10"/>
  <c r="U21" i="10"/>
  <c r="U35" i="10"/>
  <c r="U41" i="10"/>
  <c r="U26" i="10"/>
  <c r="U16" i="10"/>
  <c r="U36" i="10"/>
  <c r="U38" i="10"/>
  <c r="U14" i="10"/>
  <c r="V14" i="10" s="1"/>
  <c r="U46" i="10"/>
  <c r="U20" i="10"/>
  <c r="U44" i="10"/>
  <c r="U12" i="10"/>
  <c r="U22" i="10"/>
  <c r="U31" i="10"/>
  <c r="U13" i="10"/>
  <c r="U25" i="10"/>
  <c r="U29" i="10"/>
  <c r="U45" i="10"/>
  <c r="U47" i="10"/>
  <c r="V47" i="10" s="1"/>
  <c r="U34" i="10"/>
  <c r="U18" i="10"/>
  <c r="U40" i="10"/>
  <c r="H18" i="10"/>
  <c r="BP12" i="10"/>
  <c r="BP32" i="10"/>
  <c r="BQ32" i="10" s="1"/>
  <c r="H24" i="10"/>
  <c r="BP18" i="10"/>
  <c r="H27" i="10"/>
  <c r="BP14" i="10"/>
  <c r="BQ14" i="10" s="1"/>
  <c r="H20" i="10"/>
  <c r="BP23" i="10"/>
  <c r="BQ23" i="10" s="1"/>
  <c r="H39" i="10"/>
  <c r="AP43" i="10"/>
  <c r="AP31" i="10"/>
  <c r="AP39" i="10"/>
  <c r="AP10" i="10"/>
  <c r="AP18" i="10"/>
  <c r="AP21" i="10"/>
  <c r="AP11" i="10"/>
  <c r="AP29" i="10"/>
  <c r="AP23" i="10"/>
  <c r="AP33" i="10"/>
  <c r="AQ33" i="10" s="1"/>
  <c r="AP19" i="10"/>
  <c r="AP24" i="10"/>
  <c r="AP26" i="10"/>
  <c r="AP45" i="10"/>
  <c r="AP48" i="10"/>
  <c r="AP41" i="10"/>
  <c r="AP28" i="10"/>
  <c r="AP12" i="10"/>
  <c r="AP38" i="10"/>
  <c r="AP22" i="10"/>
  <c r="AP20" i="10"/>
  <c r="AP30" i="10"/>
  <c r="AP46" i="10"/>
  <c r="AP36" i="10"/>
  <c r="AP35" i="10"/>
  <c r="AP44" i="10"/>
  <c r="AP25" i="10"/>
  <c r="AP27" i="10"/>
  <c r="AP13" i="10"/>
  <c r="AP37" i="10"/>
  <c r="AP34" i="10"/>
  <c r="AP9" i="10"/>
  <c r="AP14" i="10"/>
  <c r="AQ14" i="10" s="1"/>
  <c r="AP16" i="10"/>
  <c r="AP47" i="10"/>
  <c r="AQ47" i="10" s="1"/>
  <c r="AP42" i="10"/>
  <c r="AP17" i="10"/>
  <c r="AP40" i="10"/>
  <c r="H16" i="10"/>
  <c r="BQ10" i="10"/>
  <c r="AI41" i="10"/>
  <c r="AI42" i="10"/>
  <c r="AI44" i="10"/>
  <c r="AI35" i="10"/>
  <c r="AI23" i="10"/>
  <c r="AI48" i="10"/>
  <c r="AI22" i="10"/>
  <c r="AI17" i="10"/>
  <c r="AI38" i="10"/>
  <c r="AI14" i="10"/>
  <c r="AJ14" i="10" s="1"/>
  <c r="AI16" i="10"/>
  <c r="AI47" i="10"/>
  <c r="AJ47" i="10" s="1"/>
  <c r="AI28" i="10"/>
  <c r="AI9" i="10"/>
  <c r="AI21" i="10"/>
  <c r="AI24" i="10"/>
  <c r="AI46" i="10"/>
  <c r="AI43" i="10"/>
  <c r="AI12" i="10"/>
  <c r="AI31" i="10"/>
  <c r="AI34" i="10"/>
  <c r="AI10" i="10"/>
  <c r="AI20" i="10"/>
  <c r="AI13" i="10"/>
  <c r="AI40" i="10"/>
  <c r="AI11" i="10"/>
  <c r="AI39" i="10"/>
  <c r="AI33" i="10"/>
  <c r="AI30" i="10"/>
  <c r="AI45" i="10"/>
  <c r="AI25" i="10"/>
  <c r="AI37" i="10"/>
  <c r="AI29" i="10"/>
  <c r="AI36" i="10"/>
  <c r="AI19" i="10"/>
  <c r="AI26" i="10"/>
  <c r="AI18" i="10"/>
  <c r="G49" i="10"/>
  <c r="H9" i="10"/>
  <c r="BP16" i="10"/>
  <c r="BP24" i="10"/>
  <c r="H43" i="10"/>
  <c r="H42" i="10"/>
  <c r="BP31" i="10"/>
  <c r="H31" i="10"/>
  <c r="H25" i="10"/>
  <c r="BP26" i="10"/>
  <c r="AB26" i="10"/>
  <c r="AB17" i="10"/>
  <c r="AB18" i="10"/>
  <c r="AB42" i="10"/>
  <c r="AB30" i="10"/>
  <c r="AB48" i="10"/>
  <c r="AB10" i="10"/>
  <c r="AB14" i="10"/>
  <c r="AB29" i="10"/>
  <c r="AB27" i="10"/>
  <c r="AB36" i="10"/>
  <c r="AB28" i="10"/>
  <c r="AB35" i="10"/>
  <c r="AB33" i="10"/>
  <c r="AB41" i="10"/>
  <c r="AB37" i="10"/>
  <c r="AB9" i="10"/>
  <c r="AB43" i="10"/>
  <c r="BP33" i="10"/>
  <c r="BQ33" i="10" s="1"/>
  <c r="AB39" i="10"/>
  <c r="BP27" i="10"/>
  <c r="BQ27" i="10" s="1"/>
  <c r="BP20" i="10"/>
  <c r="BP41" i="10"/>
  <c r="BQ41" i="10" s="1"/>
  <c r="BP46" i="10"/>
  <c r="H17" i="10"/>
  <c r="H35" i="10"/>
  <c r="H11" i="10"/>
  <c r="AB45" i="10"/>
  <c r="H30" i="10"/>
  <c r="H38" i="10"/>
  <c r="BP25" i="10"/>
  <c r="BQ25" i="10" s="1"/>
  <c r="BP39" i="10"/>
  <c r="BP43" i="10"/>
  <c r="BQ43" i="10" s="1"/>
  <c r="H12" i="10"/>
  <c r="BP9" i="10"/>
  <c r="H48" i="10"/>
  <c r="H22" i="10"/>
  <c r="H10" i="10"/>
  <c r="H34" i="10"/>
  <c r="AB19" i="10"/>
  <c r="BP29" i="10"/>
  <c r="BP37" i="10"/>
  <c r="BP11" i="10"/>
  <c r="BQ11" i="10" s="1"/>
  <c r="BP48" i="10"/>
  <c r="AI27" i="10"/>
  <c r="H44" i="10"/>
  <c r="U27" i="10"/>
  <c r="W19" i="4"/>
  <c r="AK19" i="4"/>
  <c r="I28" i="4"/>
  <c r="BQ28" i="4" s="1"/>
  <c r="I46" i="4"/>
  <c r="BQ46" i="4" s="1"/>
  <c r="I42" i="4"/>
  <c r="BQ42" i="4" s="1"/>
  <c r="I14" i="4"/>
  <c r="I13" i="4"/>
  <c r="BQ13" i="4" s="1"/>
  <c r="I27" i="4"/>
  <c r="I24" i="4"/>
  <c r="BQ24" i="4" s="1"/>
  <c r="I22" i="4"/>
  <c r="BQ22" i="4" s="1"/>
  <c r="I18" i="4"/>
  <c r="BQ18" i="4" s="1"/>
  <c r="I16" i="4"/>
  <c r="BQ16" i="4" s="1"/>
  <c r="I44" i="4"/>
  <c r="BQ44" i="4" s="1"/>
  <c r="I15" i="4"/>
  <c r="BQ15" i="4" s="1"/>
  <c r="I21" i="4"/>
  <c r="I41" i="4"/>
  <c r="BQ41" i="4" s="1"/>
  <c r="I37" i="4"/>
  <c r="BQ37" i="4" s="1"/>
  <c r="I32" i="4"/>
  <c r="BQ32" i="4" s="1"/>
  <c r="I49" i="4"/>
  <c r="BQ49" i="4" s="1"/>
  <c r="I43" i="4"/>
  <c r="I39" i="4"/>
  <c r="I30" i="4"/>
  <c r="BQ30" i="4" s="1"/>
  <c r="I23" i="4"/>
  <c r="BQ23" i="4" s="1"/>
  <c r="H50" i="4"/>
  <c r="I12" i="4"/>
  <c r="I38" i="4"/>
  <c r="BQ38" i="4" s="1"/>
  <c r="I34" i="4"/>
  <c r="O48" i="4"/>
  <c r="O38" i="4"/>
  <c r="O46" i="4"/>
  <c r="O44" i="4"/>
  <c r="O32" i="4"/>
  <c r="O34" i="4"/>
  <c r="O43" i="4"/>
  <c r="O24" i="4"/>
  <c r="O14" i="4"/>
  <c r="O33" i="4"/>
  <c r="O17" i="4"/>
  <c r="O15" i="4"/>
  <c r="O12" i="4"/>
  <c r="O35" i="4"/>
  <c r="O26" i="4"/>
  <c r="O22" i="4"/>
  <c r="O23" i="4"/>
  <c r="O29" i="4"/>
  <c r="O39" i="4"/>
  <c r="O27" i="4"/>
  <c r="O31" i="4"/>
  <c r="O47" i="4"/>
  <c r="O40" i="4"/>
  <c r="O21" i="4"/>
  <c r="O25" i="4"/>
  <c r="O18" i="4"/>
  <c r="O42" i="4"/>
  <c r="O28" i="4"/>
  <c r="O45" i="4"/>
  <c r="O37" i="4"/>
  <c r="O13" i="4"/>
  <c r="O19" i="4"/>
  <c r="O20" i="4"/>
  <c r="O30" i="4"/>
  <c r="O49" i="4"/>
  <c r="O36" i="4"/>
  <c r="O41" i="4"/>
  <c r="O16" i="4"/>
  <c r="I20" i="4"/>
  <c r="I25" i="4"/>
  <c r="BQ25" i="4" s="1"/>
  <c r="I45" i="4"/>
  <c r="BQ45" i="4" s="1"/>
  <c r="I40" i="4"/>
  <c r="AC35" i="4"/>
  <c r="AC34" i="4"/>
  <c r="AC48" i="4"/>
  <c r="AC36" i="4"/>
  <c r="AC38" i="4"/>
  <c r="AC33" i="4"/>
  <c r="AC26" i="4"/>
  <c r="AC43" i="4"/>
  <c r="AC46" i="4"/>
  <c r="AC32" i="4"/>
  <c r="AC23" i="4"/>
  <c r="AC13" i="4"/>
  <c r="AC17" i="4"/>
  <c r="AC15" i="4"/>
  <c r="AC45" i="4"/>
  <c r="AC28" i="4"/>
  <c r="AC25" i="4"/>
  <c r="AC49" i="4"/>
  <c r="AC44" i="4"/>
  <c r="AC30" i="4"/>
  <c r="AC22" i="4"/>
  <c r="AC40" i="4"/>
  <c r="AC37" i="4"/>
  <c r="AC41" i="4"/>
  <c r="AC27" i="4"/>
  <c r="AC42" i="4"/>
  <c r="AC39" i="4"/>
  <c r="AC16" i="4"/>
  <c r="AC18" i="4"/>
  <c r="AC14" i="4"/>
  <c r="AC20" i="4"/>
  <c r="AC12" i="4"/>
  <c r="AC19" i="4"/>
  <c r="AC31" i="4"/>
  <c r="AC21" i="4"/>
  <c r="AC47" i="4"/>
  <c r="AC24" i="4"/>
  <c r="I29" i="4"/>
  <c r="BQ29" i="4" s="1"/>
  <c r="I33" i="4"/>
  <c r="I47" i="4"/>
  <c r="BQ47" i="4" s="1"/>
  <c r="I35" i="4"/>
  <c r="I26" i="4"/>
  <c r="I17" i="4"/>
  <c r="BQ17" i="4" s="1"/>
  <c r="I48" i="4"/>
  <c r="BQ48" i="4" s="1"/>
  <c r="I31" i="4"/>
  <c r="BQ19" i="4" l="1"/>
  <c r="P19" i="4"/>
  <c r="AD19" i="4"/>
  <c r="BQ37" i="10"/>
  <c r="BQ47" i="10"/>
  <c r="BQ29" i="10"/>
  <c r="BQ16" i="10"/>
  <c r="AJ33" i="10"/>
  <c r="BQ30" i="10"/>
  <c r="BE47" i="10"/>
  <c r="BQ39" i="10"/>
  <c r="BQ42" i="10"/>
  <c r="AC33" i="10"/>
  <c r="V33" i="10"/>
  <c r="AR19" i="4"/>
  <c r="P36" i="4"/>
  <c r="BQ36" i="4"/>
  <c r="BF36" i="4"/>
  <c r="W36" i="4"/>
  <c r="AD36" i="4"/>
  <c r="AR36" i="4"/>
  <c r="BQ20" i="10"/>
  <c r="V26" i="10"/>
  <c r="AQ26" i="10"/>
  <c r="O26" i="10"/>
  <c r="AC26" i="10"/>
  <c r="AJ26" i="10"/>
  <c r="BE26" i="10"/>
  <c r="AC36" i="10"/>
  <c r="AJ36" i="10"/>
  <c r="V36" i="10"/>
  <c r="O36" i="10"/>
  <c r="AQ36" i="10"/>
  <c r="BE36" i="10"/>
  <c r="V40" i="10"/>
  <c r="AC40" i="10"/>
  <c r="AJ40" i="10"/>
  <c r="O40" i="10"/>
  <c r="AQ40" i="10"/>
  <c r="BE40" i="10"/>
  <c r="BI14" i="10"/>
  <c r="BJ14" i="10" s="1"/>
  <c r="BH14" i="10"/>
  <c r="V34" i="10"/>
  <c r="AC34" i="10"/>
  <c r="AJ34" i="10"/>
  <c r="O34" i="10"/>
  <c r="AQ34" i="10"/>
  <c r="BE34" i="10"/>
  <c r="H49" i="10"/>
  <c r="AQ9" i="10"/>
  <c r="AC9" i="10"/>
  <c r="O9" i="10"/>
  <c r="AJ9" i="10"/>
  <c r="BE9" i="10"/>
  <c r="V9" i="10"/>
  <c r="BQ21" i="10"/>
  <c r="BQ36" i="10"/>
  <c r="V21" i="10"/>
  <c r="AQ21" i="10"/>
  <c r="AJ21" i="10"/>
  <c r="O21" i="10"/>
  <c r="AC21" i="10"/>
  <c r="BE21" i="10"/>
  <c r="O44" i="10"/>
  <c r="AJ44" i="10"/>
  <c r="V44" i="10"/>
  <c r="AQ44" i="10"/>
  <c r="AC44" i="10"/>
  <c r="BE44" i="10"/>
  <c r="AC10" i="10"/>
  <c r="O10" i="10"/>
  <c r="V10" i="10"/>
  <c r="AQ10" i="10"/>
  <c r="AJ10" i="10"/>
  <c r="BE10" i="10"/>
  <c r="O38" i="10"/>
  <c r="AJ38" i="10"/>
  <c r="AC38" i="10"/>
  <c r="AQ38" i="10"/>
  <c r="V38" i="10"/>
  <c r="BE38" i="10"/>
  <c r="BQ26" i="10"/>
  <c r="AQ27" i="10"/>
  <c r="AC27" i="10"/>
  <c r="O27" i="10"/>
  <c r="V27" i="10"/>
  <c r="AJ27" i="10"/>
  <c r="BE27" i="10"/>
  <c r="BQ35" i="10"/>
  <c r="O23" i="10"/>
  <c r="AQ23" i="10"/>
  <c r="AC23" i="10"/>
  <c r="AJ23" i="10"/>
  <c r="V23" i="10"/>
  <c r="BE23" i="10"/>
  <c r="AJ45" i="10"/>
  <c r="V45" i="10"/>
  <c r="AQ45" i="10"/>
  <c r="AC45" i="10"/>
  <c r="O45" i="10"/>
  <c r="BE45" i="10"/>
  <c r="AQ22" i="10"/>
  <c r="AC22" i="10"/>
  <c r="AJ22" i="10"/>
  <c r="V22" i="10"/>
  <c r="O22" i="10"/>
  <c r="BE22" i="10"/>
  <c r="AJ30" i="10"/>
  <c r="AQ30" i="10"/>
  <c r="AC30" i="10"/>
  <c r="O30" i="10"/>
  <c r="V30" i="10"/>
  <c r="BE30" i="10"/>
  <c r="AJ25" i="10"/>
  <c r="V25" i="10"/>
  <c r="O25" i="10"/>
  <c r="AC25" i="10"/>
  <c r="AQ25" i="10"/>
  <c r="BE25" i="10"/>
  <c r="BQ18" i="10"/>
  <c r="V13" i="10"/>
  <c r="BE13" i="10"/>
  <c r="AQ13" i="10"/>
  <c r="AJ13" i="10"/>
  <c r="O13" i="10"/>
  <c r="AC13" i="10"/>
  <c r="AQ41" i="10"/>
  <c r="O41" i="10"/>
  <c r="AJ41" i="10"/>
  <c r="V41" i="10"/>
  <c r="AC41" i="10"/>
  <c r="BE41" i="10"/>
  <c r="V29" i="10"/>
  <c r="AQ29" i="10"/>
  <c r="O29" i="10"/>
  <c r="AC29" i="10"/>
  <c r="AJ29" i="10"/>
  <c r="BE29" i="10"/>
  <c r="BJ33" i="10"/>
  <c r="BO33" i="10" s="1"/>
  <c r="BI33" i="10"/>
  <c r="BH33" i="10"/>
  <c r="AQ48" i="10"/>
  <c r="AC48" i="10"/>
  <c r="V48" i="10"/>
  <c r="AJ48" i="10"/>
  <c r="O48" i="10"/>
  <c r="BE48" i="10"/>
  <c r="AJ31" i="10"/>
  <c r="V31" i="10"/>
  <c r="AQ31" i="10"/>
  <c r="O31" i="10"/>
  <c r="BE31" i="10"/>
  <c r="AC31" i="10"/>
  <c r="AQ28" i="10"/>
  <c r="AC28" i="10"/>
  <c r="O28" i="10"/>
  <c r="V28" i="10"/>
  <c r="AJ28" i="10"/>
  <c r="BE28" i="10"/>
  <c r="O19" i="10"/>
  <c r="V19" i="10"/>
  <c r="AQ19" i="10"/>
  <c r="AC19" i="10"/>
  <c r="AJ19" i="10"/>
  <c r="BE19" i="10"/>
  <c r="BQ48" i="10"/>
  <c r="O11" i="10"/>
  <c r="AJ11" i="10"/>
  <c r="BE11" i="10"/>
  <c r="AC11" i="10"/>
  <c r="AQ11" i="10"/>
  <c r="V11" i="10"/>
  <c r="V16" i="10"/>
  <c r="BE16" i="10"/>
  <c r="AQ16" i="10"/>
  <c r="O16" i="10"/>
  <c r="AC16" i="10"/>
  <c r="AJ16" i="10"/>
  <c r="O24" i="10"/>
  <c r="AQ24" i="10"/>
  <c r="AC24" i="10"/>
  <c r="BE24" i="10"/>
  <c r="V24" i="10"/>
  <c r="AJ24" i="10"/>
  <c r="BQ45" i="10"/>
  <c r="AC37" i="10"/>
  <c r="O37" i="10"/>
  <c r="AQ37" i="10"/>
  <c r="V37" i="10"/>
  <c r="AJ37" i="10"/>
  <c r="BE37" i="10"/>
  <c r="BQ40" i="10"/>
  <c r="BP49" i="10"/>
  <c r="BQ9" i="10"/>
  <c r="AQ35" i="10"/>
  <c r="V35" i="10"/>
  <c r="AC35" i="10"/>
  <c r="O35" i="10"/>
  <c r="AJ35" i="10"/>
  <c r="BE35" i="10"/>
  <c r="BQ31" i="10"/>
  <c r="BQ28" i="10"/>
  <c r="BQ38" i="10"/>
  <c r="BI47" i="10"/>
  <c r="BJ47" i="10" s="1"/>
  <c r="BH47" i="10"/>
  <c r="V46" i="10"/>
  <c r="AC46" i="10"/>
  <c r="AJ46" i="10"/>
  <c r="O46" i="10"/>
  <c r="AQ46" i="10"/>
  <c r="BE46" i="10"/>
  <c r="AJ12" i="10"/>
  <c r="V12" i="10"/>
  <c r="AC12" i="10"/>
  <c r="AQ12" i="10"/>
  <c r="BE12" i="10"/>
  <c r="O12" i="10"/>
  <c r="AQ17" i="10"/>
  <c r="AC17" i="10"/>
  <c r="O17" i="10"/>
  <c r="V17" i="10"/>
  <c r="AJ17" i="10"/>
  <c r="BE17" i="10"/>
  <c r="AQ42" i="10"/>
  <c r="AC42" i="10"/>
  <c r="O42" i="10"/>
  <c r="V42" i="10"/>
  <c r="AJ42" i="10"/>
  <c r="BE42" i="10"/>
  <c r="BQ44" i="10"/>
  <c r="AC43" i="10"/>
  <c r="O43" i="10"/>
  <c r="V43" i="10"/>
  <c r="AJ43" i="10"/>
  <c r="AQ43" i="10"/>
  <c r="BE43" i="10"/>
  <c r="AJ39" i="10"/>
  <c r="V39" i="10"/>
  <c r="AQ39" i="10"/>
  <c r="AC39" i="10"/>
  <c r="O39" i="10"/>
  <c r="BE39" i="10"/>
  <c r="BQ12" i="10"/>
  <c r="BQ17" i="10"/>
  <c r="AC18" i="10"/>
  <c r="O18" i="10"/>
  <c r="AQ18" i="10"/>
  <c r="V18" i="10"/>
  <c r="AJ18" i="10"/>
  <c r="BE18" i="10"/>
  <c r="AJ20" i="10"/>
  <c r="V20" i="10"/>
  <c r="BE20" i="10"/>
  <c r="AC20" i="10"/>
  <c r="AQ20" i="10"/>
  <c r="O20" i="10"/>
  <c r="BQ46" i="10"/>
  <c r="BQ24" i="10"/>
  <c r="BQ19" i="10"/>
  <c r="BQ34" i="10"/>
  <c r="AK45" i="4"/>
  <c r="W45" i="4"/>
  <c r="AR45" i="4"/>
  <c r="AD45" i="4"/>
  <c r="P45" i="4"/>
  <c r="BF45" i="4"/>
  <c r="AR30" i="4"/>
  <c r="AD30" i="4"/>
  <c r="P30" i="4"/>
  <c r="AK30" i="4"/>
  <c r="W30" i="4"/>
  <c r="BF30" i="4"/>
  <c r="P41" i="4"/>
  <c r="AK41" i="4"/>
  <c r="W41" i="4"/>
  <c r="AD41" i="4"/>
  <c r="AR41" i="4"/>
  <c r="BF41" i="4"/>
  <c r="AR40" i="4"/>
  <c r="AD40" i="4"/>
  <c r="P40" i="4"/>
  <c r="AK40" i="4"/>
  <c r="W40" i="4"/>
  <c r="BF40" i="4"/>
  <c r="W31" i="4"/>
  <c r="AR31" i="4"/>
  <c r="AD31" i="4"/>
  <c r="P31" i="4"/>
  <c r="AK31" i="4"/>
  <c r="BF31" i="4"/>
  <c r="AK25" i="4"/>
  <c r="AD25" i="4"/>
  <c r="P25" i="4"/>
  <c r="AR25" i="4"/>
  <c r="W25" i="4"/>
  <c r="BF25" i="4"/>
  <c r="AK39" i="4"/>
  <c r="W39" i="4"/>
  <c r="AD39" i="4"/>
  <c r="P39" i="4"/>
  <c r="AR39" i="4"/>
  <c r="BF39" i="4"/>
  <c r="AD21" i="4"/>
  <c r="AK21" i="4"/>
  <c r="W21" i="4"/>
  <c r="P21" i="4"/>
  <c r="AR21" i="4"/>
  <c r="BF21" i="4"/>
  <c r="AR27" i="4"/>
  <c r="AD27" i="4"/>
  <c r="P27" i="4"/>
  <c r="AK27" i="4"/>
  <c r="W27" i="4"/>
  <c r="BF27" i="4"/>
  <c r="AD26" i="4"/>
  <c r="P26" i="4"/>
  <c r="AK26" i="4"/>
  <c r="W26" i="4"/>
  <c r="AR26" i="4"/>
  <c r="BF26" i="4"/>
  <c r="W43" i="4"/>
  <c r="AD43" i="4"/>
  <c r="P43" i="4"/>
  <c r="AR43" i="4"/>
  <c r="AK43" i="4"/>
  <c r="BF43" i="4"/>
  <c r="AR13" i="4"/>
  <c r="P13" i="4"/>
  <c r="AK13" i="4"/>
  <c r="W13" i="4"/>
  <c r="BF13" i="4"/>
  <c r="AD13" i="4"/>
  <c r="AK35" i="4"/>
  <c r="W35" i="4"/>
  <c r="AR35" i="4"/>
  <c r="AD35" i="4"/>
  <c r="P35" i="4"/>
  <c r="BF35" i="4"/>
  <c r="AD29" i="4"/>
  <c r="P29" i="4"/>
  <c r="AR29" i="4"/>
  <c r="AK29" i="4"/>
  <c r="W29" i="4"/>
  <c r="BF29" i="4"/>
  <c r="AK49" i="4"/>
  <c r="W49" i="4"/>
  <c r="AR49" i="4"/>
  <c r="AD49" i="4"/>
  <c r="P49" i="4"/>
  <c r="BF49" i="4"/>
  <c r="BI19" i="4"/>
  <c r="BJ19" i="4"/>
  <c r="BK19" i="4" s="1"/>
  <c r="AD20" i="4"/>
  <c r="W20" i="4"/>
  <c r="AR20" i="4"/>
  <c r="AK20" i="4"/>
  <c r="P20" i="4"/>
  <c r="BF20" i="4"/>
  <c r="P38" i="4"/>
  <c r="AK38" i="4"/>
  <c r="W38" i="4"/>
  <c r="AR38" i="4"/>
  <c r="AD38" i="4"/>
  <c r="BF38" i="4"/>
  <c r="BQ31" i="4"/>
  <c r="W33" i="4"/>
  <c r="AK33" i="4"/>
  <c r="AR33" i="4"/>
  <c r="P33" i="4"/>
  <c r="AD33" i="4"/>
  <c r="BF33" i="4"/>
  <c r="AK34" i="4"/>
  <c r="AR34" i="4"/>
  <c r="P34" i="4"/>
  <c r="W34" i="4"/>
  <c r="AD34" i="4"/>
  <c r="BF34" i="4"/>
  <c r="I50" i="4"/>
  <c r="BF12" i="4"/>
  <c r="P12" i="4"/>
  <c r="AR12" i="4"/>
  <c r="AD12" i="4"/>
  <c r="W12" i="4"/>
  <c r="AK12" i="4"/>
  <c r="AD15" i="4"/>
  <c r="AR15" i="4"/>
  <c r="AK15" i="4"/>
  <c r="W15" i="4"/>
  <c r="BF15" i="4"/>
  <c r="P15" i="4"/>
  <c r="AD22" i="4"/>
  <c r="AK22" i="4"/>
  <c r="P22" i="4"/>
  <c r="BF22" i="4"/>
  <c r="AR22" i="4"/>
  <c r="W22" i="4"/>
  <c r="P14" i="4"/>
  <c r="AK14" i="4"/>
  <c r="W14" i="4"/>
  <c r="AR14" i="4"/>
  <c r="AD14" i="4"/>
  <c r="BF14" i="4"/>
  <c r="BQ14" i="4"/>
  <c r="P48" i="4"/>
  <c r="W48" i="4"/>
  <c r="AK48" i="4"/>
  <c r="AD48" i="4"/>
  <c r="AR48" i="4"/>
  <c r="BF48" i="4"/>
  <c r="AR44" i="4"/>
  <c r="W44" i="4"/>
  <c r="AK44" i="4"/>
  <c r="P44" i="4"/>
  <c r="AD44" i="4"/>
  <c r="BF44" i="4"/>
  <c r="BQ34" i="4"/>
  <c r="AR42" i="4"/>
  <c r="AD42" i="4"/>
  <c r="P42" i="4"/>
  <c r="AK42" i="4"/>
  <c r="W42" i="4"/>
  <c r="BF42" i="4"/>
  <c r="AK23" i="4"/>
  <c r="AD23" i="4"/>
  <c r="AR23" i="4"/>
  <c r="P23" i="4"/>
  <c r="W23" i="4"/>
  <c r="BF23" i="4"/>
  <c r="BQ35" i="4"/>
  <c r="BQ26" i="4"/>
  <c r="W32" i="4"/>
  <c r="AK32" i="4"/>
  <c r="P32" i="4"/>
  <c r="AD32" i="4"/>
  <c r="AR32" i="4"/>
  <c r="BF32" i="4"/>
  <c r="BQ43" i="4"/>
  <c r="P24" i="4"/>
  <c r="W24" i="4"/>
  <c r="AR24" i="4"/>
  <c r="AD24" i="4"/>
  <c r="BF24" i="4"/>
  <c r="AK24" i="4"/>
  <c r="BQ27" i="4"/>
  <c r="BJ36" i="4"/>
  <c r="BK36" i="4" s="1"/>
  <c r="BI36" i="4"/>
  <c r="BQ33" i="4"/>
  <c r="AD37" i="4"/>
  <c r="P37" i="4"/>
  <c r="AK37" i="4"/>
  <c r="W37" i="4"/>
  <c r="AR37" i="4"/>
  <c r="BF37" i="4"/>
  <c r="AK16" i="4"/>
  <c r="W16" i="4"/>
  <c r="AD16" i="4"/>
  <c r="P16" i="4"/>
  <c r="AR16" i="4"/>
  <c r="BF16" i="4"/>
  <c r="W46" i="4"/>
  <c r="AK46" i="4"/>
  <c r="AD46" i="4"/>
  <c r="P46" i="4"/>
  <c r="AR46" i="4"/>
  <c r="BF46" i="4"/>
  <c r="BQ40" i="4"/>
  <c r="AK17" i="4"/>
  <c r="AR17" i="4"/>
  <c r="W17" i="4"/>
  <c r="AD17" i="4"/>
  <c r="P17" i="4"/>
  <c r="BF17" i="4"/>
  <c r="AK47" i="4"/>
  <c r="W47" i="4"/>
  <c r="AR47" i="4"/>
  <c r="P47" i="4"/>
  <c r="AD47" i="4"/>
  <c r="BF47" i="4"/>
  <c r="BQ21" i="4"/>
  <c r="BQ12" i="4"/>
  <c r="P18" i="4"/>
  <c r="AK18" i="4"/>
  <c r="BF18" i="4"/>
  <c r="AR18" i="4"/>
  <c r="W18" i="4"/>
  <c r="AD18" i="4"/>
  <c r="BQ20" i="4"/>
  <c r="AR28" i="4"/>
  <c r="AD28" i="4"/>
  <c r="P28" i="4"/>
  <c r="AK28" i="4"/>
  <c r="W28" i="4"/>
  <c r="BF28" i="4"/>
  <c r="BQ39" i="4"/>
  <c r="AK10" i="10" l="1"/>
  <c r="AW10" i="10" s="1"/>
  <c r="BC10" i="10" s="1"/>
  <c r="AD14" i="10"/>
  <c r="AV14" i="10" s="1"/>
  <c r="BB14" i="10" s="1"/>
  <c r="AR47" i="10"/>
  <c r="AX47" i="10" s="1"/>
  <c r="BD47" i="10" s="1"/>
  <c r="AD42" i="10"/>
  <c r="AV42" i="10" s="1"/>
  <c r="BB42" i="10" s="1"/>
  <c r="P28" i="10"/>
  <c r="AT28" i="10" s="1"/>
  <c r="AZ28" i="10" s="1"/>
  <c r="AR43" i="10"/>
  <c r="AX43" i="10" s="1"/>
  <c r="BD43" i="10" s="1"/>
  <c r="W25" i="10"/>
  <c r="AU25" i="10" s="1"/>
  <c r="BA25" i="10" s="1"/>
  <c r="BO47" i="10"/>
  <c r="P14" i="10"/>
  <c r="AT14" i="10" s="1"/>
  <c r="AK47" i="10"/>
  <c r="AW47" i="10" s="1"/>
  <c r="BC47" i="10" s="1"/>
  <c r="BO14" i="10"/>
  <c r="BP19" i="4"/>
  <c r="BR19" i="4" s="1"/>
  <c r="X19" i="4"/>
  <c r="AV19" i="4" s="1"/>
  <c r="BB19" i="4" s="1"/>
  <c r="Q19" i="4"/>
  <c r="AU19" i="4" s="1"/>
  <c r="BA19" i="4" s="1"/>
  <c r="AL17" i="4"/>
  <c r="AX17" i="4" s="1"/>
  <c r="BD17" i="4" s="1"/>
  <c r="X24" i="4"/>
  <c r="AV24" i="4" s="1"/>
  <c r="BB24" i="4" s="1"/>
  <c r="BP36" i="4"/>
  <c r="BR36" i="4" s="1"/>
  <c r="AS36" i="4"/>
  <c r="AY36" i="4" s="1"/>
  <c r="BE36" i="4" s="1"/>
  <c r="AE47" i="4"/>
  <c r="AW47" i="4" s="1"/>
  <c r="BC47" i="4" s="1"/>
  <c r="Q42" i="4"/>
  <c r="AU42" i="4" s="1"/>
  <c r="BA42" i="4" s="1"/>
  <c r="AS49" i="4"/>
  <c r="AY49" i="4" s="1"/>
  <c r="BE49" i="4" s="1"/>
  <c r="AS19" i="4"/>
  <c r="AY19" i="4" s="1"/>
  <c r="BE19" i="4" s="1"/>
  <c r="AZ14" i="10"/>
  <c r="BR14" i="10"/>
  <c r="BR47" i="10"/>
  <c r="BI19" i="10"/>
  <c r="BJ19" i="10" s="1"/>
  <c r="BO19" i="10" s="1"/>
  <c r="BH19" i="10"/>
  <c r="AD20" i="10"/>
  <c r="AV20" i="10" s="1"/>
  <c r="BB20" i="10" s="1"/>
  <c r="W43" i="10"/>
  <c r="AU43" i="10" s="1"/>
  <c r="BA43" i="10" s="1"/>
  <c r="BI17" i="10"/>
  <c r="BJ17" i="10" s="1"/>
  <c r="BH17" i="10"/>
  <c r="W12" i="10"/>
  <c r="AU12" i="10" s="1"/>
  <c r="BA12" i="10" s="1"/>
  <c r="W24" i="10"/>
  <c r="AU24" i="10" s="1"/>
  <c r="BA24" i="10" s="1"/>
  <c r="W16" i="10"/>
  <c r="AU16" i="10" s="1"/>
  <c r="BA16" i="10" s="1"/>
  <c r="AK19" i="10"/>
  <c r="AW19" i="10" s="1"/>
  <c r="BC19" i="10" s="1"/>
  <c r="AR28" i="10"/>
  <c r="AX28" i="10" s="1"/>
  <c r="BD28" i="10" s="1"/>
  <c r="W48" i="10"/>
  <c r="AU48" i="10" s="1"/>
  <c r="BA48" i="10" s="1"/>
  <c r="W29" i="10"/>
  <c r="AU29" i="10" s="1"/>
  <c r="BA29" i="10" s="1"/>
  <c r="BH30" i="10"/>
  <c r="BI30" i="10"/>
  <c r="BJ30" i="10" s="1"/>
  <c r="BO30" i="10" s="1"/>
  <c r="AD22" i="10"/>
  <c r="AV22" i="10" s="1"/>
  <c r="BB22" i="10" s="1"/>
  <c r="AR27" i="10"/>
  <c r="AX27" i="10" s="1"/>
  <c r="BD27" i="10" s="1"/>
  <c r="W10" i="10"/>
  <c r="AU10" i="10" s="1"/>
  <c r="BA10" i="10" s="1"/>
  <c r="AD21" i="10"/>
  <c r="AV21" i="10" s="1"/>
  <c r="BB21" i="10" s="1"/>
  <c r="W26" i="10"/>
  <c r="AU26" i="10" s="1"/>
  <c r="BA26" i="10" s="1"/>
  <c r="AD27" i="10"/>
  <c r="AV27" i="10" s="1"/>
  <c r="BB27" i="10" s="1"/>
  <c r="BI20" i="10"/>
  <c r="BJ20" i="10" s="1"/>
  <c r="BH20" i="10"/>
  <c r="AK17" i="10"/>
  <c r="AW17" i="10" s="1"/>
  <c r="BC17" i="10" s="1"/>
  <c r="AK12" i="10"/>
  <c r="AW12" i="10" s="1"/>
  <c r="BC12" i="10" s="1"/>
  <c r="BI24" i="10"/>
  <c r="BJ24" i="10" s="1"/>
  <c r="BH24" i="10"/>
  <c r="W11" i="10"/>
  <c r="AU11" i="10" s="1"/>
  <c r="BA11" i="10" s="1"/>
  <c r="AD19" i="10"/>
  <c r="AV19" i="10" s="1"/>
  <c r="BB19" i="10" s="1"/>
  <c r="AD31" i="10"/>
  <c r="AV31" i="10" s="1"/>
  <c r="BB31" i="10" s="1"/>
  <c r="AD48" i="10"/>
  <c r="AV48" i="10" s="1"/>
  <c r="BB48" i="10" s="1"/>
  <c r="AR13" i="10"/>
  <c r="AX13" i="10" s="1"/>
  <c r="BD13" i="10" s="1"/>
  <c r="W30" i="10"/>
  <c r="AU30" i="10" s="1"/>
  <c r="BA30" i="10" s="1"/>
  <c r="AR22" i="10"/>
  <c r="AX22" i="10" s="1"/>
  <c r="BD22" i="10" s="1"/>
  <c r="AK23" i="10"/>
  <c r="AW23" i="10" s="1"/>
  <c r="BC23" i="10" s="1"/>
  <c r="P21" i="10"/>
  <c r="AT21" i="10" s="1"/>
  <c r="O49" i="10"/>
  <c r="P9" i="10"/>
  <c r="P32" i="10"/>
  <c r="AT32" i="10" s="1"/>
  <c r="AR36" i="10"/>
  <c r="AX36" i="10" s="1"/>
  <c r="BD36" i="10" s="1"/>
  <c r="P27" i="10"/>
  <c r="AT27" i="10" s="1"/>
  <c r="AR10" i="10"/>
  <c r="AX10" i="10" s="1"/>
  <c r="BD10" i="10" s="1"/>
  <c r="BI39" i="10"/>
  <c r="BJ39" i="10" s="1"/>
  <c r="BO39" i="10" s="1"/>
  <c r="BH39" i="10"/>
  <c r="P43" i="10"/>
  <c r="AT43" i="10" s="1"/>
  <c r="W17" i="10"/>
  <c r="AU17" i="10" s="1"/>
  <c r="BA17" i="10" s="1"/>
  <c r="BI46" i="10"/>
  <c r="BJ46" i="10" s="1"/>
  <c r="BO46" i="10" s="1"/>
  <c r="BH46" i="10"/>
  <c r="AD24" i="10"/>
  <c r="AV24" i="10" s="1"/>
  <c r="BB24" i="10" s="1"/>
  <c r="AR11" i="10"/>
  <c r="AX11" i="10" s="1"/>
  <c r="BD11" i="10" s="1"/>
  <c r="AR19" i="10"/>
  <c r="AX19" i="10" s="1"/>
  <c r="BD19" i="10" s="1"/>
  <c r="BH31" i="10"/>
  <c r="BI31" i="10"/>
  <c r="BJ31" i="10" s="1"/>
  <c r="AR48" i="10"/>
  <c r="AX48" i="10" s="1"/>
  <c r="BD48" i="10" s="1"/>
  <c r="BI41" i="10"/>
  <c r="BJ41" i="10" s="1"/>
  <c r="BH41" i="10"/>
  <c r="BI13" i="10"/>
  <c r="BJ13" i="10" s="1"/>
  <c r="BH13" i="10"/>
  <c r="P30" i="10"/>
  <c r="AT30" i="10" s="1"/>
  <c r="BI45" i="10"/>
  <c r="BJ45" i="10" s="1"/>
  <c r="BH45" i="10"/>
  <c r="AD23" i="10"/>
  <c r="AV23" i="10" s="1"/>
  <c r="BB23" i="10" s="1"/>
  <c r="BI38" i="10"/>
  <c r="BJ38" i="10" s="1"/>
  <c r="BO38" i="10" s="1"/>
  <c r="BH38" i="10"/>
  <c r="P10" i="10"/>
  <c r="AT10" i="10" s="1"/>
  <c r="AC49" i="10"/>
  <c r="AD9" i="10"/>
  <c r="AD32" i="10"/>
  <c r="AV32" i="10" s="1"/>
  <c r="BB32" i="10" s="1"/>
  <c r="P36" i="10"/>
  <c r="AT36" i="10" s="1"/>
  <c r="AK14" i="10"/>
  <c r="AW14" i="10" s="1"/>
  <c r="BC14" i="10" s="1"/>
  <c r="BI21" i="10"/>
  <c r="BJ21" i="10" s="1"/>
  <c r="BO21" i="10" s="1"/>
  <c r="BH21" i="10"/>
  <c r="W20" i="10"/>
  <c r="AU20" i="10" s="1"/>
  <c r="BA20" i="10" s="1"/>
  <c r="AD43" i="10"/>
  <c r="AV43" i="10" s="1"/>
  <c r="BB43" i="10" s="1"/>
  <c r="P17" i="10"/>
  <c r="AT17" i="10" s="1"/>
  <c r="AR46" i="10"/>
  <c r="AX46" i="10" s="1"/>
  <c r="BD46" i="10" s="1"/>
  <c r="BI37" i="10"/>
  <c r="BJ37" i="10" s="1"/>
  <c r="BH37" i="10"/>
  <c r="AR24" i="10"/>
  <c r="AX24" i="10" s="1"/>
  <c r="BD24" i="10" s="1"/>
  <c r="AD11" i="10"/>
  <c r="AV11" i="10" s="1"/>
  <c r="BB11" i="10" s="1"/>
  <c r="W19" i="10"/>
  <c r="AU19" i="10" s="1"/>
  <c r="BA19" i="10" s="1"/>
  <c r="P31" i="10"/>
  <c r="AT31" i="10" s="1"/>
  <c r="AD41" i="10"/>
  <c r="AV41" i="10" s="1"/>
  <c r="BB41" i="10" s="1"/>
  <c r="W13" i="10"/>
  <c r="AU13" i="10" s="1"/>
  <c r="BA13" i="10" s="1"/>
  <c r="AD30" i="10"/>
  <c r="AV30" i="10" s="1"/>
  <c r="BB30" i="10" s="1"/>
  <c r="P45" i="10"/>
  <c r="AT45" i="10" s="1"/>
  <c r="AR23" i="10"/>
  <c r="AX23" i="10" s="1"/>
  <c r="BD23" i="10" s="1"/>
  <c r="W38" i="10"/>
  <c r="AU38" i="10" s="1"/>
  <c r="BA38" i="10" s="1"/>
  <c r="AD10" i="10"/>
  <c r="AV10" i="10" s="1"/>
  <c r="BB10" i="10" s="1"/>
  <c r="AK21" i="10"/>
  <c r="AW21" i="10" s="1"/>
  <c r="BC21" i="10" s="1"/>
  <c r="AQ49" i="10"/>
  <c r="AR9" i="10"/>
  <c r="AR32" i="10"/>
  <c r="AX32" i="10" s="1"/>
  <c r="BD32" i="10" s="1"/>
  <c r="W47" i="10"/>
  <c r="AU47" i="10" s="1"/>
  <c r="BA47" i="10" s="1"/>
  <c r="W36" i="10"/>
  <c r="AU36" i="10" s="1"/>
  <c r="BA36" i="10" s="1"/>
  <c r="P44" i="10"/>
  <c r="AT44" i="10" s="1"/>
  <c r="W23" i="10"/>
  <c r="AU23" i="10" s="1"/>
  <c r="BA23" i="10" s="1"/>
  <c r="P39" i="10"/>
  <c r="AT39" i="10" s="1"/>
  <c r="AK20" i="10"/>
  <c r="AW20" i="10" s="1"/>
  <c r="BC20" i="10" s="1"/>
  <c r="AD39" i="10"/>
  <c r="AV39" i="10" s="1"/>
  <c r="BB39" i="10" s="1"/>
  <c r="P46" i="10"/>
  <c r="AT46" i="10" s="1"/>
  <c r="BI35" i="10"/>
  <c r="BJ35" i="10" s="1"/>
  <c r="BH35" i="10"/>
  <c r="AK37" i="10"/>
  <c r="AW37" i="10" s="1"/>
  <c r="BC37" i="10" s="1"/>
  <c r="BJ11" i="10"/>
  <c r="BO11" i="10" s="1"/>
  <c r="BI11" i="10"/>
  <c r="BH11" i="10"/>
  <c r="AR31" i="10"/>
  <c r="AX31" i="10" s="1"/>
  <c r="BD31" i="10" s="1"/>
  <c r="AR30" i="10"/>
  <c r="AX30" i="10" s="1"/>
  <c r="BD30" i="10" s="1"/>
  <c r="AD45" i="10"/>
  <c r="AV45" i="10" s="1"/>
  <c r="BB45" i="10" s="1"/>
  <c r="P23" i="10"/>
  <c r="AT23" i="10" s="1"/>
  <c r="AR38" i="10"/>
  <c r="AX38" i="10" s="1"/>
  <c r="BD38" i="10" s="1"/>
  <c r="BI44" i="10"/>
  <c r="BJ44" i="10" s="1"/>
  <c r="BH44" i="10"/>
  <c r="AR21" i="10"/>
  <c r="AX21" i="10" s="1"/>
  <c r="BD21" i="10" s="1"/>
  <c r="BI40" i="10"/>
  <c r="BJ40" i="10" s="1"/>
  <c r="BH40" i="10"/>
  <c r="AK36" i="10"/>
  <c r="AW36" i="10" s="1"/>
  <c r="BC36" i="10" s="1"/>
  <c r="W33" i="10"/>
  <c r="AU33" i="10" s="1"/>
  <c r="BA33" i="10" s="1"/>
  <c r="P29" i="10"/>
  <c r="AT29" i="10" s="1"/>
  <c r="W22" i="10"/>
  <c r="AU22" i="10" s="1"/>
  <c r="BA22" i="10" s="1"/>
  <c r="W40" i="10"/>
  <c r="AU40" i="10" s="1"/>
  <c r="BA40" i="10" s="1"/>
  <c r="AD18" i="10"/>
  <c r="AV18" i="10" s="1"/>
  <c r="BB18" i="10" s="1"/>
  <c r="BQ49" i="10"/>
  <c r="AD28" i="10"/>
  <c r="AV28" i="10" s="1"/>
  <c r="BB28" i="10" s="1"/>
  <c r="AR29" i="10"/>
  <c r="AX29" i="10" s="1"/>
  <c r="BD29" i="10" s="1"/>
  <c r="AK25" i="10"/>
  <c r="AW25" i="10" s="1"/>
  <c r="BC25" i="10" s="1"/>
  <c r="AR26" i="10"/>
  <c r="AX26" i="10" s="1"/>
  <c r="BD26" i="10" s="1"/>
  <c r="BJ18" i="10"/>
  <c r="BO18" i="10" s="1"/>
  <c r="BI18" i="10"/>
  <c r="BH18" i="10"/>
  <c r="AD17" i="10"/>
  <c r="AV17" i="10" s="1"/>
  <c r="BB17" i="10" s="1"/>
  <c r="AK35" i="10"/>
  <c r="AW35" i="10" s="1"/>
  <c r="BC35" i="10" s="1"/>
  <c r="P24" i="10"/>
  <c r="AT24" i="10" s="1"/>
  <c r="P19" i="10"/>
  <c r="AT19" i="10" s="1"/>
  <c r="W41" i="10"/>
  <c r="AU41" i="10" s="1"/>
  <c r="BA41" i="10" s="1"/>
  <c r="AD44" i="10"/>
  <c r="AV44" i="10" s="1"/>
  <c r="BB44" i="10" s="1"/>
  <c r="AD36" i="10"/>
  <c r="AV36" i="10" s="1"/>
  <c r="BB36" i="10" s="1"/>
  <c r="AK18" i="10"/>
  <c r="AW18" i="10" s="1"/>
  <c r="BC18" i="10" s="1"/>
  <c r="P35" i="10"/>
  <c r="AT35" i="10" s="1"/>
  <c r="W31" i="10"/>
  <c r="AU31" i="10" s="1"/>
  <c r="BA31" i="10" s="1"/>
  <c r="AK41" i="10"/>
  <c r="AW41" i="10" s="1"/>
  <c r="BC41" i="10" s="1"/>
  <c r="BI27" i="10"/>
  <c r="BJ27" i="10" s="1"/>
  <c r="BO27" i="10" s="1"/>
  <c r="BH27" i="10"/>
  <c r="AK38" i="10"/>
  <c r="AW38" i="10" s="1"/>
  <c r="BC38" i="10" s="1"/>
  <c r="AR44" i="10"/>
  <c r="AX44" i="10" s="1"/>
  <c r="BD44" i="10" s="1"/>
  <c r="BI26" i="10"/>
  <c r="BH26" i="10"/>
  <c r="BJ26" i="10"/>
  <c r="BO26" i="10" s="1"/>
  <c r="P18" i="10"/>
  <c r="AT18" i="10" s="1"/>
  <c r="AR12" i="10"/>
  <c r="AX12" i="10" s="1"/>
  <c r="BD12" i="10" s="1"/>
  <c r="AD34" i="10"/>
  <c r="AV34" i="10" s="1"/>
  <c r="BB34" i="10" s="1"/>
  <c r="AR42" i="10"/>
  <c r="AX42" i="10" s="1"/>
  <c r="BD42" i="10" s="1"/>
  <c r="W34" i="10"/>
  <c r="AU34" i="10" s="1"/>
  <c r="BA34" i="10" s="1"/>
  <c r="AK46" i="10"/>
  <c r="AW46" i="10" s="1"/>
  <c r="BC46" i="10" s="1"/>
  <c r="W37" i="10"/>
  <c r="AU37" i="10" s="1"/>
  <c r="BA37" i="10" s="1"/>
  <c r="AK11" i="10"/>
  <c r="AW11" i="10" s="1"/>
  <c r="BC11" i="10" s="1"/>
  <c r="BI25" i="10"/>
  <c r="BJ25" i="10" s="1"/>
  <c r="BH25" i="10"/>
  <c r="BH34" i="10"/>
  <c r="BI34" i="10"/>
  <c r="BJ34" i="10" s="1"/>
  <c r="BO34" i="10" s="1"/>
  <c r="AR34" i="10"/>
  <c r="AX34" i="10" s="1"/>
  <c r="BD34" i="10" s="1"/>
  <c r="W18" i="10"/>
  <c r="AU18" i="10" s="1"/>
  <c r="BA18" i="10" s="1"/>
  <c r="W39" i="10"/>
  <c r="AU39" i="10" s="1"/>
  <c r="BA39" i="10" s="1"/>
  <c r="AK42" i="10"/>
  <c r="AW42" i="10" s="1"/>
  <c r="BC42" i="10" s="1"/>
  <c r="P12" i="10"/>
  <c r="AT12" i="10" s="1"/>
  <c r="AD46" i="10"/>
  <c r="AV46" i="10" s="1"/>
  <c r="BB46" i="10" s="1"/>
  <c r="AR37" i="10"/>
  <c r="AX37" i="10" s="1"/>
  <c r="BD37" i="10" s="1"/>
  <c r="AK16" i="10"/>
  <c r="AW16" i="10" s="1"/>
  <c r="BC16" i="10" s="1"/>
  <c r="P11" i="10"/>
  <c r="AT11" i="10" s="1"/>
  <c r="AK31" i="10"/>
  <c r="AW31" i="10" s="1"/>
  <c r="BC31" i="10" s="1"/>
  <c r="BI29" i="10"/>
  <c r="BJ29" i="10" s="1"/>
  <c r="BH29" i="10"/>
  <c r="P41" i="10"/>
  <c r="AT41" i="10" s="1"/>
  <c r="AD25" i="10"/>
  <c r="AV25" i="10" s="1"/>
  <c r="BB25" i="10" s="1"/>
  <c r="BH22" i="10"/>
  <c r="BI22" i="10"/>
  <c r="BJ22" i="10" s="1"/>
  <c r="BO22" i="10" s="1"/>
  <c r="W45" i="10"/>
  <c r="AU45" i="10" s="1"/>
  <c r="BA45" i="10" s="1"/>
  <c r="W44" i="10"/>
  <c r="AU44" i="10" s="1"/>
  <c r="BA44" i="10" s="1"/>
  <c r="P34" i="10"/>
  <c r="AT34" i="10" s="1"/>
  <c r="P40" i="10"/>
  <c r="AT40" i="10" s="1"/>
  <c r="AK26" i="10"/>
  <c r="AW26" i="10" s="1"/>
  <c r="BC26" i="10" s="1"/>
  <c r="AR14" i="10"/>
  <c r="AX14" i="10" s="1"/>
  <c r="BD14" i="10" s="1"/>
  <c r="BI9" i="10"/>
  <c r="BJ9" i="10"/>
  <c r="BH9" i="10"/>
  <c r="AJ49" i="10"/>
  <c r="AK9" i="10"/>
  <c r="AK32" i="10"/>
  <c r="AW32" i="10" s="1"/>
  <c r="BC32" i="10" s="1"/>
  <c r="BI42" i="10"/>
  <c r="BJ42" i="10" s="1"/>
  <c r="BO42" i="10" s="1"/>
  <c r="BH42" i="10"/>
  <c r="AR40" i="10"/>
  <c r="AX40" i="10" s="1"/>
  <c r="BD40" i="10" s="1"/>
  <c r="AK39" i="10"/>
  <c r="AW39" i="10" s="1"/>
  <c r="BC39" i="10" s="1"/>
  <c r="W42" i="10"/>
  <c r="AU42" i="10" s="1"/>
  <c r="BA42" i="10" s="1"/>
  <c r="BI12" i="10"/>
  <c r="BJ12" i="10" s="1"/>
  <c r="BH12" i="10"/>
  <c r="W46" i="10"/>
  <c r="AU46" i="10" s="1"/>
  <c r="BA46" i="10" s="1"/>
  <c r="AD35" i="10"/>
  <c r="AV35" i="10" s="1"/>
  <c r="BB35" i="10" s="1"/>
  <c r="P37" i="10"/>
  <c r="AT37" i="10" s="1"/>
  <c r="AD16" i="10"/>
  <c r="AV16" i="10" s="1"/>
  <c r="BB16" i="10" s="1"/>
  <c r="AK28" i="10"/>
  <c r="AW28" i="10" s="1"/>
  <c r="BC28" i="10" s="1"/>
  <c r="BI48" i="10"/>
  <c r="BJ48" i="10" s="1"/>
  <c r="BO48" i="10" s="1"/>
  <c r="BH48" i="10"/>
  <c r="AK29" i="10"/>
  <c r="AW29" i="10" s="1"/>
  <c r="BC29" i="10" s="1"/>
  <c r="AR41" i="10"/>
  <c r="AX41" i="10" s="1"/>
  <c r="BD41" i="10" s="1"/>
  <c r="P25" i="10"/>
  <c r="AT25" i="10" s="1"/>
  <c r="P22" i="10"/>
  <c r="AT22" i="10" s="1"/>
  <c r="AK45" i="10"/>
  <c r="AW45" i="10" s="1"/>
  <c r="BC45" i="10" s="1"/>
  <c r="AK27" i="10"/>
  <c r="AW27" i="10" s="1"/>
  <c r="BC27" i="10" s="1"/>
  <c r="P38" i="10"/>
  <c r="AT38" i="10" s="1"/>
  <c r="AK44" i="10"/>
  <c r="AW44" i="10" s="1"/>
  <c r="BC44" i="10" s="1"/>
  <c r="AK40" i="10"/>
  <c r="AW40" i="10" s="1"/>
  <c r="BC40" i="10" s="1"/>
  <c r="AD26" i="10"/>
  <c r="AV26" i="10" s="1"/>
  <c r="BB26" i="10" s="1"/>
  <c r="AD33" i="10"/>
  <c r="AV33" i="10" s="1"/>
  <c r="BB33" i="10" s="1"/>
  <c r="P20" i="10"/>
  <c r="AT20" i="10" s="1"/>
  <c r="AR35" i="10"/>
  <c r="AX35" i="10" s="1"/>
  <c r="BD35" i="10" s="1"/>
  <c r="AR16" i="10"/>
  <c r="AX16" i="10" s="1"/>
  <c r="BD16" i="10" s="1"/>
  <c r="P48" i="10"/>
  <c r="AT48" i="10" s="1"/>
  <c r="P13" i="10"/>
  <c r="AT13" i="10" s="1"/>
  <c r="BH23" i="10"/>
  <c r="BI23" i="10"/>
  <c r="BJ23" i="10" s="1"/>
  <c r="AR20" i="10"/>
  <c r="AX20" i="10" s="1"/>
  <c r="BD20" i="10" s="1"/>
  <c r="AK43" i="10"/>
  <c r="AW43" i="10" s="1"/>
  <c r="BC43" i="10" s="1"/>
  <c r="AD12" i="10"/>
  <c r="AV12" i="10" s="1"/>
  <c r="BB12" i="10" s="1"/>
  <c r="AK24" i="10"/>
  <c r="AW24" i="10" s="1"/>
  <c r="BC24" i="10" s="1"/>
  <c r="BH16" i="10"/>
  <c r="BI16" i="10"/>
  <c r="BJ16" i="10" s="1"/>
  <c r="BO16" i="10" s="1"/>
  <c r="AK48" i="10"/>
  <c r="AW48" i="10" s="1"/>
  <c r="BC48" i="10" s="1"/>
  <c r="AK13" i="10"/>
  <c r="AW13" i="10" s="1"/>
  <c r="BC13" i="10" s="1"/>
  <c r="AK22" i="10"/>
  <c r="AW22" i="10" s="1"/>
  <c r="BC22" i="10" s="1"/>
  <c r="BI36" i="10"/>
  <c r="BJ36" i="10" s="1"/>
  <c r="BH36" i="10"/>
  <c r="BR33" i="10"/>
  <c r="AK30" i="10"/>
  <c r="AW30" i="10" s="1"/>
  <c r="BC30" i="10" s="1"/>
  <c r="AD38" i="10"/>
  <c r="AV38" i="10" s="1"/>
  <c r="BB38" i="10" s="1"/>
  <c r="W21" i="10"/>
  <c r="AU21" i="10" s="1"/>
  <c r="BA21" i="10" s="1"/>
  <c r="W14" i="10"/>
  <c r="AU14" i="10" s="1"/>
  <c r="BA14" i="10" s="1"/>
  <c r="AR39" i="10"/>
  <c r="AX39" i="10" s="1"/>
  <c r="BD39" i="10" s="1"/>
  <c r="AR17" i="10"/>
  <c r="AX17" i="10" s="1"/>
  <c r="BD17" i="10" s="1"/>
  <c r="BI28" i="10"/>
  <c r="BJ28" i="10" s="1"/>
  <c r="BO28" i="10" s="1"/>
  <c r="BH28" i="10"/>
  <c r="P47" i="10"/>
  <c r="AT47" i="10" s="1"/>
  <c r="AR25" i="10"/>
  <c r="AX25" i="10" s="1"/>
  <c r="BD25" i="10" s="1"/>
  <c r="AR45" i="10"/>
  <c r="AX45" i="10" s="1"/>
  <c r="BD45" i="10" s="1"/>
  <c r="AK33" i="10"/>
  <c r="AW33" i="10" s="1"/>
  <c r="BC33" i="10" s="1"/>
  <c r="AR18" i="10"/>
  <c r="AX18" i="10" s="1"/>
  <c r="BD18" i="10" s="1"/>
  <c r="BI43" i="10"/>
  <c r="BJ43" i="10" s="1"/>
  <c r="BO43" i="10" s="1"/>
  <c r="BH43" i="10"/>
  <c r="P42" i="10"/>
  <c r="AT42" i="10" s="1"/>
  <c r="W35" i="10"/>
  <c r="AU35" i="10" s="1"/>
  <c r="BA35" i="10" s="1"/>
  <c r="AD37" i="10"/>
  <c r="AV37" i="10" s="1"/>
  <c r="BB37" i="10" s="1"/>
  <c r="P16" i="10"/>
  <c r="AT16" i="10" s="1"/>
  <c r="P33" i="10"/>
  <c r="AT33" i="10" s="1"/>
  <c r="W28" i="10"/>
  <c r="AU28" i="10" s="1"/>
  <c r="BA28" i="10" s="1"/>
  <c r="AD29" i="10"/>
  <c r="AV29" i="10" s="1"/>
  <c r="BB29" i="10" s="1"/>
  <c r="AD13" i="10"/>
  <c r="AV13" i="10" s="1"/>
  <c r="BB13" i="10" s="1"/>
  <c r="AD47" i="10"/>
  <c r="AV47" i="10" s="1"/>
  <c r="BB47" i="10" s="1"/>
  <c r="W27" i="10"/>
  <c r="AU27" i="10" s="1"/>
  <c r="BA27" i="10" s="1"/>
  <c r="BH10" i="10"/>
  <c r="BI10" i="10"/>
  <c r="BJ10" i="10" s="1"/>
  <c r="V49" i="10"/>
  <c r="W9" i="10"/>
  <c r="W32" i="10"/>
  <c r="AU32" i="10" s="1"/>
  <c r="BA32" i="10" s="1"/>
  <c r="AK34" i="10"/>
  <c r="AW34" i="10" s="1"/>
  <c r="BC34" i="10" s="1"/>
  <c r="AD40" i="10"/>
  <c r="AV40" i="10" s="1"/>
  <c r="BB40" i="10" s="1"/>
  <c r="P26" i="10"/>
  <c r="AT26" i="10" s="1"/>
  <c r="AR33" i="10"/>
  <c r="AX33" i="10" s="1"/>
  <c r="BD33" i="10" s="1"/>
  <c r="AS28" i="4"/>
  <c r="AY28" i="4" s="1"/>
  <c r="BE28" i="4" s="1"/>
  <c r="X15" i="4"/>
  <c r="AV15" i="4" s="1"/>
  <c r="BB15" i="4" s="1"/>
  <c r="Q20" i="4"/>
  <c r="AU20" i="4" s="1"/>
  <c r="AE41" i="4"/>
  <c r="AW41" i="4" s="1"/>
  <c r="BC41" i="4" s="1"/>
  <c r="Q47" i="4"/>
  <c r="AU47" i="4" s="1"/>
  <c r="Q16" i="4"/>
  <c r="AU16" i="4" s="1"/>
  <c r="Q24" i="4"/>
  <c r="AU24" i="4" s="1"/>
  <c r="BI23" i="4"/>
  <c r="BJ23" i="4"/>
  <c r="BK23" i="4" s="1"/>
  <c r="AS48" i="4"/>
  <c r="AY48" i="4" s="1"/>
  <c r="BE48" i="4" s="1"/>
  <c r="Q14" i="4"/>
  <c r="AU14" i="4" s="1"/>
  <c r="AL15" i="4"/>
  <c r="AX15" i="4" s="1"/>
  <c r="BD15" i="4" s="1"/>
  <c r="BJ34" i="4"/>
  <c r="BK34" i="4" s="1"/>
  <c r="BI34" i="4"/>
  <c r="AL20" i="4"/>
  <c r="AX20" i="4" s="1"/>
  <c r="BD20" i="4" s="1"/>
  <c r="X49" i="4"/>
  <c r="AV49" i="4" s="1"/>
  <c r="BB49" i="4" s="1"/>
  <c r="AE35" i="4"/>
  <c r="AW35" i="4" s="1"/>
  <c r="BC35" i="4" s="1"/>
  <c r="AS13" i="4"/>
  <c r="AY13" i="4" s="1"/>
  <c r="BE13" i="4" s="1"/>
  <c r="AL26" i="4"/>
  <c r="AX26" i="4" s="1"/>
  <c r="BD26" i="4" s="1"/>
  <c r="Q21" i="4"/>
  <c r="AU21" i="4" s="1"/>
  <c r="BJ25" i="4"/>
  <c r="BK25" i="4" s="1"/>
  <c r="BI25" i="4"/>
  <c r="AS31" i="4"/>
  <c r="AY31" i="4" s="1"/>
  <c r="BE31" i="4" s="1"/>
  <c r="BJ48" i="4"/>
  <c r="BK48" i="4" s="1"/>
  <c r="BI48" i="4"/>
  <c r="AL33" i="4"/>
  <c r="AX33" i="4" s="1"/>
  <c r="BD33" i="4" s="1"/>
  <c r="Q35" i="4"/>
  <c r="AU35" i="4" s="1"/>
  <c r="Q13" i="4"/>
  <c r="AU13" i="4" s="1"/>
  <c r="X26" i="4"/>
  <c r="AV26" i="4" s="1"/>
  <c r="BB26" i="4" s="1"/>
  <c r="AS21" i="4"/>
  <c r="AY21" i="4" s="1"/>
  <c r="BE21" i="4" s="1"/>
  <c r="BI45" i="4"/>
  <c r="BJ45" i="4"/>
  <c r="BK45" i="4" s="1"/>
  <c r="AE18" i="4"/>
  <c r="AW18" i="4" s="1"/>
  <c r="BC18" i="4" s="1"/>
  <c r="AS47" i="4"/>
  <c r="AY47" i="4" s="1"/>
  <c r="BE47" i="4" s="1"/>
  <c r="AE16" i="4"/>
  <c r="AW16" i="4" s="1"/>
  <c r="BC16" i="4" s="1"/>
  <c r="X23" i="4"/>
  <c r="AV23" i="4" s="1"/>
  <c r="BB23" i="4" s="1"/>
  <c r="AE42" i="4"/>
  <c r="AW42" i="4" s="1"/>
  <c r="BC42" i="4" s="1"/>
  <c r="AE48" i="4"/>
  <c r="AW48" i="4" s="1"/>
  <c r="BC48" i="4" s="1"/>
  <c r="AE34" i="4"/>
  <c r="AW34" i="4" s="1"/>
  <c r="BC34" i="4" s="1"/>
  <c r="X33" i="4"/>
  <c r="AV33" i="4" s="1"/>
  <c r="BB33" i="4" s="1"/>
  <c r="AL49" i="4"/>
  <c r="AX49" i="4" s="1"/>
  <c r="BD49" i="4" s="1"/>
  <c r="AS35" i="4"/>
  <c r="AY35" i="4" s="1"/>
  <c r="BE35" i="4" s="1"/>
  <c r="BI43" i="4"/>
  <c r="BJ43" i="4"/>
  <c r="BK43" i="4" s="1"/>
  <c r="Q26" i="4"/>
  <c r="AU26" i="4" s="1"/>
  <c r="X21" i="4"/>
  <c r="AV21" i="4" s="1"/>
  <c r="BB21" i="4" s="1"/>
  <c r="X25" i="4"/>
  <c r="AV25" i="4" s="1"/>
  <c r="BB25" i="4" s="1"/>
  <c r="X31" i="4"/>
  <c r="AV31" i="4" s="1"/>
  <c r="BB31" i="4" s="1"/>
  <c r="X41" i="4"/>
  <c r="AV41" i="4" s="1"/>
  <c r="BB41" i="4" s="1"/>
  <c r="Q45" i="4"/>
  <c r="AU45" i="4" s="1"/>
  <c r="X18" i="4"/>
  <c r="AV18" i="4" s="1"/>
  <c r="BB18" i="4" s="1"/>
  <c r="X47" i="4"/>
  <c r="AV47" i="4" s="1"/>
  <c r="BB47" i="4" s="1"/>
  <c r="BJ46" i="4"/>
  <c r="BK46" i="4" s="1"/>
  <c r="BI46" i="4"/>
  <c r="X16" i="4"/>
  <c r="AV16" i="4" s="1"/>
  <c r="BB16" i="4" s="1"/>
  <c r="BI32" i="4"/>
  <c r="BJ32" i="4"/>
  <c r="BK32" i="4" s="1"/>
  <c r="Q23" i="4"/>
  <c r="AU23" i="4" s="1"/>
  <c r="AS42" i="4"/>
  <c r="AY42" i="4" s="1"/>
  <c r="BE42" i="4" s="1"/>
  <c r="X22" i="4"/>
  <c r="AV22" i="4" s="1"/>
  <c r="BB22" i="4" s="1"/>
  <c r="AS15" i="4"/>
  <c r="AY15" i="4" s="1"/>
  <c r="BE15" i="4" s="1"/>
  <c r="AS20" i="4"/>
  <c r="AY20" i="4" s="1"/>
  <c r="BE20" i="4" s="1"/>
  <c r="X35" i="4"/>
  <c r="AV35" i="4" s="1"/>
  <c r="BB35" i="4" s="1"/>
  <c r="AL43" i="4"/>
  <c r="AX43" i="4" s="1"/>
  <c r="BD43" i="4" s="1"/>
  <c r="AE26" i="4"/>
  <c r="AW26" i="4" s="1"/>
  <c r="BC26" i="4" s="1"/>
  <c r="AS25" i="4"/>
  <c r="AY25" i="4" s="1"/>
  <c r="BE25" i="4" s="1"/>
  <c r="BJ40" i="4"/>
  <c r="BK40" i="4" s="1"/>
  <c r="BI40" i="4"/>
  <c r="AL41" i="4"/>
  <c r="AX41" i="4" s="1"/>
  <c r="BD41" i="4" s="1"/>
  <c r="AE45" i="4"/>
  <c r="AW45" i="4" s="1"/>
  <c r="BC45" i="4" s="1"/>
  <c r="AS18" i="4"/>
  <c r="AY18" i="4" s="1"/>
  <c r="BE18" i="4" s="1"/>
  <c r="AL47" i="4"/>
  <c r="AX47" i="4" s="1"/>
  <c r="BD47" i="4" s="1"/>
  <c r="AS46" i="4"/>
  <c r="AY46" i="4" s="1"/>
  <c r="BE46" i="4" s="1"/>
  <c r="AL16" i="4"/>
  <c r="AX16" i="4" s="1"/>
  <c r="BD16" i="4" s="1"/>
  <c r="AS32" i="4"/>
  <c r="AY32" i="4" s="1"/>
  <c r="BE32" i="4" s="1"/>
  <c r="AS23" i="4"/>
  <c r="AY23" i="4" s="1"/>
  <c r="BE23" i="4" s="1"/>
  <c r="AL48" i="4"/>
  <c r="AX48" i="4" s="1"/>
  <c r="BD48" i="4" s="1"/>
  <c r="AS22" i="4"/>
  <c r="AY22" i="4" s="1"/>
  <c r="BE22" i="4" s="1"/>
  <c r="AE15" i="4"/>
  <c r="AW15" i="4" s="1"/>
  <c r="BC15" i="4" s="1"/>
  <c r="X34" i="4"/>
  <c r="AV34" i="4" s="1"/>
  <c r="BB34" i="4" s="1"/>
  <c r="BJ38" i="4"/>
  <c r="BK38" i="4" s="1"/>
  <c r="BI38" i="4"/>
  <c r="X20" i="4"/>
  <c r="AV20" i="4" s="1"/>
  <c r="BB20" i="4" s="1"/>
  <c r="BJ29" i="4"/>
  <c r="BK29" i="4" s="1"/>
  <c r="BI29" i="4"/>
  <c r="AL35" i="4"/>
  <c r="AX35" i="4" s="1"/>
  <c r="BD35" i="4" s="1"/>
  <c r="AS43" i="4"/>
  <c r="AY43" i="4" s="1"/>
  <c r="BE43" i="4" s="1"/>
  <c r="BJ27" i="4"/>
  <c r="BK27" i="4" s="1"/>
  <c r="BI27" i="4"/>
  <c r="AL21" i="4"/>
  <c r="AX21" i="4" s="1"/>
  <c r="BD21" i="4" s="1"/>
  <c r="Q25" i="4"/>
  <c r="AU25" i="4" s="1"/>
  <c r="X40" i="4"/>
  <c r="AV40" i="4" s="1"/>
  <c r="BB40" i="4" s="1"/>
  <c r="Q41" i="4"/>
  <c r="AU41" i="4" s="1"/>
  <c r="AS45" i="4"/>
  <c r="AY45" i="4" s="1"/>
  <c r="BE45" i="4" s="1"/>
  <c r="BJ18" i="4"/>
  <c r="BK18" i="4" s="1"/>
  <c r="BI18" i="4"/>
  <c r="Q46" i="4"/>
  <c r="AU46" i="4" s="1"/>
  <c r="BJ37" i="4"/>
  <c r="BK37" i="4" s="1"/>
  <c r="BI37" i="4"/>
  <c r="X36" i="4"/>
  <c r="AV36" i="4" s="1"/>
  <c r="BB36" i="4" s="1"/>
  <c r="AE32" i="4"/>
  <c r="AW32" i="4" s="1"/>
  <c r="BC32" i="4" s="1"/>
  <c r="BJ44" i="4"/>
  <c r="BK44" i="4" s="1"/>
  <c r="BI44" i="4"/>
  <c r="X48" i="4"/>
  <c r="AV48" i="4" s="1"/>
  <c r="BB48" i="4" s="1"/>
  <c r="BJ22" i="4"/>
  <c r="BK22" i="4" s="1"/>
  <c r="BI22" i="4"/>
  <c r="AK50" i="4"/>
  <c r="AL12" i="4"/>
  <c r="Q34" i="4"/>
  <c r="AU34" i="4" s="1"/>
  <c r="AE38" i="4"/>
  <c r="AW38" i="4" s="1"/>
  <c r="BC38" i="4" s="1"/>
  <c r="AE20" i="4"/>
  <c r="AW20" i="4" s="1"/>
  <c r="BC20" i="4" s="1"/>
  <c r="X29" i="4"/>
  <c r="AV29" i="4" s="1"/>
  <c r="BB29" i="4" s="1"/>
  <c r="X27" i="4"/>
  <c r="AV27" i="4" s="1"/>
  <c r="BB27" i="4" s="1"/>
  <c r="AE21" i="4"/>
  <c r="AW21" i="4" s="1"/>
  <c r="BC21" i="4" s="1"/>
  <c r="AE25" i="4"/>
  <c r="AW25" i="4" s="1"/>
  <c r="BC25" i="4" s="1"/>
  <c r="AL40" i="4"/>
  <c r="AX40" i="4" s="1"/>
  <c r="BD40" i="4" s="1"/>
  <c r="BI30" i="4"/>
  <c r="BJ30" i="4"/>
  <c r="BK30" i="4" s="1"/>
  <c r="X45" i="4"/>
  <c r="AV45" i="4" s="1"/>
  <c r="BB45" i="4" s="1"/>
  <c r="AL14" i="4"/>
  <c r="AX14" i="4" s="1"/>
  <c r="BD14" i="4" s="1"/>
  <c r="AE31" i="4"/>
  <c r="AW31" i="4" s="1"/>
  <c r="BC31" i="4" s="1"/>
  <c r="BI28" i="4"/>
  <c r="BJ28" i="4"/>
  <c r="BK28" i="4" s="1"/>
  <c r="AL18" i="4"/>
  <c r="AX18" i="4" s="1"/>
  <c r="BD18" i="4" s="1"/>
  <c r="BJ17" i="4"/>
  <c r="BK17" i="4" s="1"/>
  <c r="BI17" i="4"/>
  <c r="AE46" i="4"/>
  <c r="AW46" i="4" s="1"/>
  <c r="BC46" i="4" s="1"/>
  <c r="AS37" i="4"/>
  <c r="AY37" i="4" s="1"/>
  <c r="BE37" i="4" s="1"/>
  <c r="Q32" i="4"/>
  <c r="AU32" i="4" s="1"/>
  <c r="AE23" i="4"/>
  <c r="AW23" i="4" s="1"/>
  <c r="BC23" i="4" s="1"/>
  <c r="AE44" i="4"/>
  <c r="AW44" i="4" s="1"/>
  <c r="BC44" i="4" s="1"/>
  <c r="Q48" i="4"/>
  <c r="AU48" i="4" s="1"/>
  <c r="Q22" i="4"/>
  <c r="AU22" i="4" s="1"/>
  <c r="W50" i="4"/>
  <c r="X12" i="4"/>
  <c r="AS34" i="4"/>
  <c r="AY34" i="4" s="1"/>
  <c r="BE34" i="4" s="1"/>
  <c r="AS38" i="4"/>
  <c r="AY38" i="4" s="1"/>
  <c r="BE38" i="4" s="1"/>
  <c r="AL29" i="4"/>
  <c r="AX29" i="4" s="1"/>
  <c r="BD29" i="4" s="1"/>
  <c r="Q43" i="4"/>
  <c r="AU43" i="4" s="1"/>
  <c r="AL27" i="4"/>
  <c r="AX27" i="4" s="1"/>
  <c r="BD27" i="4" s="1"/>
  <c r="BJ39" i="4"/>
  <c r="BK39" i="4" s="1"/>
  <c r="BI39" i="4"/>
  <c r="AL25" i="4"/>
  <c r="AX25" i="4" s="1"/>
  <c r="BD25" i="4" s="1"/>
  <c r="X30" i="4"/>
  <c r="AV30" i="4" s="1"/>
  <c r="BB30" i="4" s="1"/>
  <c r="AL45" i="4"/>
  <c r="AX45" i="4" s="1"/>
  <c r="BD45" i="4" s="1"/>
  <c r="AD50" i="4"/>
  <c r="AE12" i="4"/>
  <c r="AL30" i="4"/>
  <c r="AX30" i="4" s="1"/>
  <c r="BD30" i="4" s="1"/>
  <c r="AL28" i="4"/>
  <c r="AX28" i="4" s="1"/>
  <c r="BD28" i="4" s="1"/>
  <c r="AE17" i="4"/>
  <c r="AW17" i="4" s="1"/>
  <c r="BC17" i="4" s="1"/>
  <c r="AL46" i="4"/>
  <c r="AX46" i="4" s="1"/>
  <c r="BD46" i="4" s="1"/>
  <c r="AL37" i="4"/>
  <c r="AX37" i="4" s="1"/>
  <c r="BD37" i="4" s="1"/>
  <c r="BJ24" i="4"/>
  <c r="BK24" i="4" s="1"/>
  <c r="BI24" i="4"/>
  <c r="AL19" i="4"/>
  <c r="AX19" i="4" s="1"/>
  <c r="BD19" i="4" s="1"/>
  <c r="BJ14" i="4"/>
  <c r="BK14" i="4" s="1"/>
  <c r="BI14" i="4"/>
  <c r="AL22" i="4"/>
  <c r="AX22" i="4" s="1"/>
  <c r="BD22" i="4" s="1"/>
  <c r="AR50" i="4"/>
  <c r="AS12" i="4"/>
  <c r="BJ33" i="4"/>
  <c r="BK33" i="4" s="1"/>
  <c r="BI33" i="4"/>
  <c r="BJ13" i="4"/>
  <c r="BK13" i="4" s="1"/>
  <c r="BI13" i="4"/>
  <c r="X43" i="4"/>
  <c r="AV43" i="4" s="1"/>
  <c r="BB43" i="4" s="1"/>
  <c r="AE27" i="4"/>
  <c r="AW27" i="4" s="1"/>
  <c r="BC27" i="4" s="1"/>
  <c r="Q39" i="4"/>
  <c r="AU39" i="4" s="1"/>
  <c r="BI31" i="4"/>
  <c r="BJ31" i="4"/>
  <c r="BK31" i="4" s="1"/>
  <c r="AE40" i="4"/>
  <c r="AW40" i="4" s="1"/>
  <c r="BC40" i="4" s="1"/>
  <c r="Q18" i="4"/>
  <c r="AU18" i="4" s="1"/>
  <c r="X37" i="4"/>
  <c r="AV37" i="4" s="1"/>
  <c r="BB37" i="4" s="1"/>
  <c r="AL23" i="4"/>
  <c r="AX23" i="4" s="1"/>
  <c r="BD23" i="4" s="1"/>
  <c r="X38" i="4"/>
  <c r="AV38" i="4" s="1"/>
  <c r="BB38" i="4" s="1"/>
  <c r="BQ50" i="4"/>
  <c r="X17" i="4"/>
  <c r="AV17" i="4" s="1"/>
  <c r="BB17" i="4" s="1"/>
  <c r="X46" i="4"/>
  <c r="AV46" i="4" s="1"/>
  <c r="BB46" i="4" s="1"/>
  <c r="Q37" i="4"/>
  <c r="AU37" i="4" s="1"/>
  <c r="X32" i="4"/>
  <c r="AV32" i="4" s="1"/>
  <c r="BB32" i="4" s="1"/>
  <c r="BJ42" i="4"/>
  <c r="BK42" i="4" s="1"/>
  <c r="BI42" i="4"/>
  <c r="AL44" i="4"/>
  <c r="AX44" i="4" s="1"/>
  <c r="BD44" i="4" s="1"/>
  <c r="AE14" i="4"/>
  <c r="AW14" i="4" s="1"/>
  <c r="BC14" i="4" s="1"/>
  <c r="AE22" i="4"/>
  <c r="AW22" i="4" s="1"/>
  <c r="BC22" i="4" s="1"/>
  <c r="P50" i="4"/>
  <c r="Q12" i="4"/>
  <c r="AE33" i="4"/>
  <c r="AW33" i="4" s="1"/>
  <c r="BC33" i="4" s="1"/>
  <c r="AL38" i="4"/>
  <c r="AX38" i="4" s="1"/>
  <c r="BD38" i="4" s="1"/>
  <c r="BJ49" i="4"/>
  <c r="BK49" i="4" s="1"/>
  <c r="BI49" i="4"/>
  <c r="Q29" i="4"/>
  <c r="AU29" i="4" s="1"/>
  <c r="X13" i="4"/>
  <c r="AV13" i="4" s="1"/>
  <c r="BB13" i="4" s="1"/>
  <c r="AS27" i="4"/>
  <c r="AY27" i="4" s="1"/>
  <c r="BE27" i="4" s="1"/>
  <c r="AE39" i="4"/>
  <c r="AW39" i="4" s="1"/>
  <c r="BC39" i="4" s="1"/>
  <c r="AS40" i="4"/>
  <c r="AY40" i="4" s="1"/>
  <c r="BE40" i="4" s="1"/>
  <c r="Q30" i="4"/>
  <c r="AU30" i="4" s="1"/>
  <c r="AE19" i="4"/>
  <c r="AW19" i="4" s="1"/>
  <c r="BC19" i="4" s="1"/>
  <c r="Q17" i="4"/>
  <c r="AU17" i="4" s="1"/>
  <c r="AL24" i="4"/>
  <c r="AX24" i="4" s="1"/>
  <c r="BD24" i="4" s="1"/>
  <c r="Q44" i="4"/>
  <c r="AU44" i="4" s="1"/>
  <c r="AL34" i="4"/>
  <c r="AX34" i="4" s="1"/>
  <c r="BD34" i="4" s="1"/>
  <c r="Q40" i="4"/>
  <c r="AU40" i="4" s="1"/>
  <c r="Q28" i="4"/>
  <c r="AU28" i="4" s="1"/>
  <c r="BJ16" i="4"/>
  <c r="BK16" i="4" s="1"/>
  <c r="BI16" i="4"/>
  <c r="AE37" i="4"/>
  <c r="AW37" i="4" s="1"/>
  <c r="BC37" i="4" s="1"/>
  <c r="X42" i="4"/>
  <c r="AV42" i="4" s="1"/>
  <c r="BB42" i="4" s="1"/>
  <c r="X44" i="4"/>
  <c r="AV44" i="4" s="1"/>
  <c r="BB44" i="4" s="1"/>
  <c r="AS14" i="4"/>
  <c r="AY14" i="4" s="1"/>
  <c r="BE14" i="4" s="1"/>
  <c r="Q15" i="4"/>
  <c r="AU15" i="4" s="1"/>
  <c r="BJ12" i="4"/>
  <c r="BI12" i="4"/>
  <c r="Q33" i="4"/>
  <c r="AU33" i="4" s="1"/>
  <c r="Q38" i="4"/>
  <c r="AU38" i="4" s="1"/>
  <c r="Q49" i="4"/>
  <c r="AU49" i="4" s="1"/>
  <c r="AE29" i="4"/>
  <c r="AW29" i="4" s="1"/>
  <c r="BC29" i="4" s="1"/>
  <c r="AL13" i="4"/>
  <c r="AX13" i="4" s="1"/>
  <c r="BD13" i="4" s="1"/>
  <c r="BI26" i="4"/>
  <c r="BJ26" i="4"/>
  <c r="BK26" i="4" s="1"/>
  <c r="X39" i="4"/>
  <c r="AV39" i="4" s="1"/>
  <c r="BB39" i="4" s="1"/>
  <c r="AL31" i="4"/>
  <c r="AX31" i="4" s="1"/>
  <c r="BD31" i="4" s="1"/>
  <c r="BJ41" i="4"/>
  <c r="BK41" i="4" s="1"/>
  <c r="BI41" i="4"/>
  <c r="AE30" i="4"/>
  <c r="AW30" i="4" s="1"/>
  <c r="BC30" i="4" s="1"/>
  <c r="Q36" i="4"/>
  <c r="AU36" i="4" s="1"/>
  <c r="X28" i="4"/>
  <c r="AV28" i="4" s="1"/>
  <c r="BB28" i="4" s="1"/>
  <c r="AL32" i="4"/>
  <c r="AX32" i="4" s="1"/>
  <c r="BD32" i="4" s="1"/>
  <c r="AS29" i="4"/>
  <c r="AY29" i="4" s="1"/>
  <c r="BE29" i="4" s="1"/>
  <c r="AE13" i="4"/>
  <c r="AW13" i="4" s="1"/>
  <c r="BC13" i="4" s="1"/>
  <c r="AE43" i="4"/>
  <c r="AW43" i="4" s="1"/>
  <c r="BC43" i="4" s="1"/>
  <c r="Q27" i="4"/>
  <c r="AU27" i="4" s="1"/>
  <c r="AS39" i="4"/>
  <c r="AY39" i="4" s="1"/>
  <c r="BE39" i="4" s="1"/>
  <c r="AL36" i="4"/>
  <c r="AX36" i="4" s="1"/>
  <c r="BD36" i="4" s="1"/>
  <c r="AE24" i="4"/>
  <c r="AW24" i="4" s="1"/>
  <c r="BC24" i="4" s="1"/>
  <c r="AE28" i="4"/>
  <c r="AW28" i="4" s="1"/>
  <c r="BC28" i="4" s="1"/>
  <c r="BI47" i="4"/>
  <c r="BJ47" i="4"/>
  <c r="BK47" i="4" s="1"/>
  <c r="AS17" i="4"/>
  <c r="AY17" i="4" s="1"/>
  <c r="BE17" i="4" s="1"/>
  <c r="AS16" i="4"/>
  <c r="AY16" i="4" s="1"/>
  <c r="BE16" i="4" s="1"/>
  <c r="AS24" i="4"/>
  <c r="AY24" i="4" s="1"/>
  <c r="BE24" i="4" s="1"/>
  <c r="AL42" i="4"/>
  <c r="AX42" i="4" s="1"/>
  <c r="BD42" i="4" s="1"/>
  <c r="AS44" i="4"/>
  <c r="AY44" i="4" s="1"/>
  <c r="BE44" i="4" s="1"/>
  <c r="X14" i="4"/>
  <c r="AV14" i="4" s="1"/>
  <c r="BB14" i="4" s="1"/>
  <c r="BJ15" i="4"/>
  <c r="BI15" i="4"/>
  <c r="BK15" i="4"/>
  <c r="AS33" i="4"/>
  <c r="AY33" i="4" s="1"/>
  <c r="BE33" i="4" s="1"/>
  <c r="BJ20" i="4"/>
  <c r="BK20" i="4" s="1"/>
  <c r="BI20" i="4"/>
  <c r="AE49" i="4"/>
  <c r="AW49" i="4" s="1"/>
  <c r="BC49" i="4" s="1"/>
  <c r="BJ35" i="4"/>
  <c r="BK35" i="4" s="1"/>
  <c r="BI35" i="4"/>
  <c r="AS26" i="4"/>
  <c r="AY26" i="4" s="1"/>
  <c r="BE26" i="4" s="1"/>
  <c r="BJ21" i="4"/>
  <c r="BK21" i="4" s="1"/>
  <c r="BI21" i="4"/>
  <c r="AL39" i="4"/>
  <c r="AX39" i="4" s="1"/>
  <c r="BD39" i="4" s="1"/>
  <c r="Q31" i="4"/>
  <c r="AU31" i="4" s="1"/>
  <c r="AS41" i="4"/>
  <c r="AY41" i="4" s="1"/>
  <c r="BE41" i="4" s="1"/>
  <c r="AS30" i="4"/>
  <c r="AY30" i="4" s="1"/>
  <c r="BE30" i="4" s="1"/>
  <c r="AE36" i="4"/>
  <c r="AW36" i="4" s="1"/>
  <c r="BC36" i="4" s="1"/>
  <c r="BP47" i="4" l="1"/>
  <c r="BO44" i="10"/>
  <c r="BO37" i="10"/>
  <c r="AY28" i="10"/>
  <c r="BO25" i="10"/>
  <c r="BO17" i="10"/>
  <c r="BO40" i="10"/>
  <c r="BO10" i="10"/>
  <c r="BO35" i="10"/>
  <c r="BO13" i="10"/>
  <c r="BR13" i="10" s="1"/>
  <c r="BO20" i="10"/>
  <c r="BR20" i="10" s="1"/>
  <c r="BO29" i="10"/>
  <c r="BR29" i="10" s="1"/>
  <c r="BO45" i="10"/>
  <c r="BR45" i="10" s="1"/>
  <c r="BO24" i="10"/>
  <c r="BO41" i="10"/>
  <c r="BO12" i="10"/>
  <c r="BP29" i="4"/>
  <c r="BR29" i="4" s="1"/>
  <c r="BP32" i="4"/>
  <c r="BR32" i="4" s="1"/>
  <c r="BP43" i="4"/>
  <c r="BR43" i="4" s="1"/>
  <c r="BP46" i="4"/>
  <c r="BR46" i="4" s="1"/>
  <c r="BP24" i="4"/>
  <c r="BP22" i="4"/>
  <c r="BR22" i="4" s="1"/>
  <c r="BP44" i="4"/>
  <c r="BR44" i="4" s="1"/>
  <c r="BP13" i="4"/>
  <c r="BR13" i="4" s="1"/>
  <c r="BP33" i="4"/>
  <c r="BR33" i="4" s="1"/>
  <c r="BP42" i="4"/>
  <c r="BR42" i="4" s="1"/>
  <c r="BP40" i="4"/>
  <c r="BR40" i="4" s="1"/>
  <c r="BP35" i="4"/>
  <c r="BR35" i="4" s="1"/>
  <c r="BP34" i="4"/>
  <c r="BR34" i="4" s="1"/>
  <c r="BP38" i="4"/>
  <c r="BR38" i="4" s="1"/>
  <c r="BP16" i="4"/>
  <c r="BR16" i="4" s="1"/>
  <c r="BP30" i="4"/>
  <c r="BR30" i="4" s="1"/>
  <c r="BP20" i="4"/>
  <c r="BR20" i="4" s="1"/>
  <c r="BP27" i="4"/>
  <c r="BR27" i="4" s="1"/>
  <c r="BP25" i="4"/>
  <c r="BR25" i="4" s="1"/>
  <c r="BP15" i="4"/>
  <c r="BR15" i="4" s="1"/>
  <c r="BP49" i="4"/>
  <c r="BR49" i="4" s="1"/>
  <c r="BP37" i="4"/>
  <c r="BR37" i="4" s="1"/>
  <c r="BP18" i="4"/>
  <c r="BR18" i="4" s="1"/>
  <c r="BP17" i="4"/>
  <c r="BR17" i="4" s="1"/>
  <c r="BP48" i="4"/>
  <c r="BR48" i="4" s="1"/>
  <c r="BP14" i="4"/>
  <c r="BR14" i="4" s="1"/>
  <c r="BP31" i="4"/>
  <c r="BR31" i="4" s="1"/>
  <c r="BR41" i="10"/>
  <c r="BR16" i="10"/>
  <c r="BR25" i="10"/>
  <c r="BR17" i="10"/>
  <c r="BR10" i="10"/>
  <c r="BR43" i="10"/>
  <c r="BR48" i="10"/>
  <c r="BR42" i="10"/>
  <c r="BR30" i="10"/>
  <c r="BR12" i="10"/>
  <c r="BR44" i="10"/>
  <c r="BR21" i="10"/>
  <c r="BR24" i="10"/>
  <c r="BR19" i="10"/>
  <c r="BR35" i="10"/>
  <c r="BR46" i="10"/>
  <c r="BR22" i="10"/>
  <c r="BR40" i="10"/>
  <c r="BR37" i="10"/>
  <c r="BR27" i="10"/>
  <c r="AZ12" i="10"/>
  <c r="AY12" i="10"/>
  <c r="AZ23" i="10"/>
  <c r="AY23" i="10"/>
  <c r="AZ42" i="10"/>
  <c r="AY42" i="10"/>
  <c r="AZ13" i="10"/>
  <c r="AY13" i="10"/>
  <c r="AZ22" i="10"/>
  <c r="AY22" i="10"/>
  <c r="AZ29" i="10"/>
  <c r="AY29" i="10"/>
  <c r="AZ10" i="10"/>
  <c r="AY10" i="10"/>
  <c r="AZ21" i="10"/>
  <c r="AY21" i="10"/>
  <c r="AZ48" i="10"/>
  <c r="AY48" i="10"/>
  <c r="AZ25" i="10"/>
  <c r="AY25" i="10"/>
  <c r="BJ49" i="10"/>
  <c r="BO4" i="10" s="1"/>
  <c r="BO9" i="10"/>
  <c r="AZ41" i="10"/>
  <c r="AY41" i="10"/>
  <c r="AZ39" i="10"/>
  <c r="AY39" i="10"/>
  <c r="AZ45" i="10"/>
  <c r="AY45" i="10"/>
  <c r="AZ17" i="10"/>
  <c r="AY17" i="10"/>
  <c r="BI49" i="10"/>
  <c r="AZ43" i="10"/>
  <c r="AY43" i="10"/>
  <c r="BR18" i="10"/>
  <c r="AZ44" i="10"/>
  <c r="AY44" i="10"/>
  <c r="BR38" i="10"/>
  <c r="BR28" i="10"/>
  <c r="AZ20" i="10"/>
  <c r="AY20" i="10"/>
  <c r="AZ35" i="10"/>
  <c r="AY35" i="10"/>
  <c r="AZ11" i="10"/>
  <c r="AY11" i="10"/>
  <c r="AR49" i="10"/>
  <c r="AX9" i="10"/>
  <c r="AZ27" i="10"/>
  <c r="AY27" i="10"/>
  <c r="AZ31" i="10"/>
  <c r="AY31" i="10"/>
  <c r="AZ26" i="10"/>
  <c r="AY26" i="10"/>
  <c r="BR26" i="10"/>
  <c r="AZ33" i="10"/>
  <c r="AY33" i="10"/>
  <c r="AZ47" i="10"/>
  <c r="AY47" i="10"/>
  <c r="AZ36" i="10"/>
  <c r="AY36" i="10"/>
  <c r="AZ30" i="10"/>
  <c r="AY30" i="10"/>
  <c r="AZ40" i="10"/>
  <c r="AY40" i="10"/>
  <c r="BR34" i="10"/>
  <c r="AZ18" i="10"/>
  <c r="AY18" i="10"/>
  <c r="BR11" i="10"/>
  <c r="BR39" i="10"/>
  <c r="AZ34" i="10"/>
  <c r="AY34" i="10"/>
  <c r="BO31" i="10"/>
  <c r="AZ16" i="10"/>
  <c r="AY16" i="10"/>
  <c r="AZ38" i="10"/>
  <c r="AY38" i="10"/>
  <c r="AZ37" i="10"/>
  <c r="AY37" i="10"/>
  <c r="AZ19" i="10"/>
  <c r="AY19" i="10"/>
  <c r="AY32" i="10"/>
  <c r="AZ32" i="10"/>
  <c r="AY14" i="10"/>
  <c r="W49" i="10"/>
  <c r="AU9" i="10"/>
  <c r="BO36" i="10"/>
  <c r="BO23" i="10"/>
  <c r="AK49" i="10"/>
  <c r="AW9" i="10"/>
  <c r="AZ24" i="10"/>
  <c r="AY24" i="10"/>
  <c r="AZ46" i="10"/>
  <c r="AY46" i="10"/>
  <c r="AD49" i="10"/>
  <c r="AV9" i="10"/>
  <c r="P49" i="10"/>
  <c r="AT9" i="10"/>
  <c r="BR47" i="4"/>
  <c r="Q50" i="4"/>
  <c r="AU12" i="4"/>
  <c r="BA22" i="4"/>
  <c r="AZ22" i="4"/>
  <c r="BA45" i="4"/>
  <c r="AZ45" i="4"/>
  <c r="BA13" i="4"/>
  <c r="AZ13" i="4"/>
  <c r="BP26" i="4"/>
  <c r="BA30" i="4"/>
  <c r="AZ30" i="4"/>
  <c r="BA48" i="4"/>
  <c r="AZ48" i="4"/>
  <c r="BP28" i="4"/>
  <c r="BA25" i="4"/>
  <c r="AZ25" i="4"/>
  <c r="BA35" i="4"/>
  <c r="AZ35" i="4"/>
  <c r="BP23" i="4"/>
  <c r="BA24" i="4"/>
  <c r="AZ24" i="4"/>
  <c r="BA34" i="4"/>
  <c r="AZ34" i="4"/>
  <c r="BA16" i="4"/>
  <c r="AZ16" i="4"/>
  <c r="BA36" i="4"/>
  <c r="AZ36" i="4"/>
  <c r="BA49" i="4"/>
  <c r="AZ49" i="4"/>
  <c r="BA18" i="4"/>
  <c r="AZ18" i="4"/>
  <c r="BP39" i="4"/>
  <c r="BA32" i="4"/>
  <c r="AZ32" i="4"/>
  <c r="AL50" i="4"/>
  <c r="AX12" i="4"/>
  <c r="BA47" i="4"/>
  <c r="AZ47" i="4"/>
  <c r="BA38" i="4"/>
  <c r="AZ38" i="4"/>
  <c r="BA26" i="4"/>
  <c r="AZ26" i="4"/>
  <c r="BA33" i="4"/>
  <c r="AZ33" i="4"/>
  <c r="BA28" i="4"/>
  <c r="AZ28" i="4"/>
  <c r="BA29" i="4"/>
  <c r="AZ29" i="4"/>
  <c r="AS50" i="4"/>
  <c r="AY12" i="4"/>
  <c r="BA43" i="4"/>
  <c r="AZ43" i="4"/>
  <c r="BA46" i="4"/>
  <c r="AZ46" i="4"/>
  <c r="BA20" i="4"/>
  <c r="AZ20" i="4"/>
  <c r="BA31" i="4"/>
  <c r="AZ31" i="4"/>
  <c r="BP21" i="4"/>
  <c r="BA40" i="4"/>
  <c r="AZ40" i="4"/>
  <c r="BR24" i="4"/>
  <c r="BA27" i="4"/>
  <c r="AZ27" i="4"/>
  <c r="BP41" i="4"/>
  <c r="BJ50" i="4"/>
  <c r="BA14" i="4"/>
  <c r="AZ14" i="4"/>
  <c r="BK12" i="4"/>
  <c r="BA44" i="4"/>
  <c r="AZ44" i="4"/>
  <c r="BA37" i="4"/>
  <c r="AZ37" i="4"/>
  <c r="BA39" i="4"/>
  <c r="AZ39" i="4"/>
  <c r="AE50" i="4"/>
  <c r="AW12" i="4"/>
  <c r="BP45" i="4"/>
  <c r="AZ19" i="4"/>
  <c r="BA23" i="4"/>
  <c r="AZ23" i="4"/>
  <c r="BA15" i="4"/>
  <c r="AZ15" i="4"/>
  <c r="X50" i="4"/>
  <c r="AV12" i="4"/>
  <c r="BA21" i="4"/>
  <c r="AZ21" i="4"/>
  <c r="AZ42" i="4"/>
  <c r="BA17" i="4"/>
  <c r="AZ17" i="4"/>
  <c r="BA41" i="4"/>
  <c r="AZ41" i="4"/>
  <c r="BR23" i="10" l="1"/>
  <c r="BR36" i="10"/>
  <c r="AT49" i="10"/>
  <c r="AZ49" i="10" s="1"/>
  <c r="AZ9" i="10"/>
  <c r="AY9" i="10"/>
  <c r="AU49" i="10"/>
  <c r="BA49" i="10" s="1"/>
  <c r="BA9" i="10"/>
  <c r="BO49" i="10"/>
  <c r="BR9" i="10"/>
  <c r="BR31" i="10"/>
  <c r="AV49" i="10"/>
  <c r="BB49" i="10" s="1"/>
  <c r="BB9" i="10"/>
  <c r="AW49" i="10"/>
  <c r="BC49" i="10" s="1"/>
  <c r="BC9" i="10"/>
  <c r="AX49" i="10"/>
  <c r="BD49" i="10" s="1"/>
  <c r="BD9" i="10"/>
  <c r="AW50" i="4"/>
  <c r="BC50" i="4" s="1"/>
  <c r="BC12" i="4"/>
  <c r="BR26" i="4"/>
  <c r="BR21" i="4"/>
  <c r="BR23" i="4"/>
  <c r="AV50" i="4"/>
  <c r="BB50" i="4" s="1"/>
  <c r="BB12" i="4"/>
  <c r="AY50" i="4"/>
  <c r="BE50" i="4" s="1"/>
  <c r="BE12" i="4"/>
  <c r="BR45" i="4"/>
  <c r="BR41" i="4"/>
  <c r="AX50" i="4"/>
  <c r="BD50" i="4" s="1"/>
  <c r="BD12" i="4"/>
  <c r="BR28" i="4"/>
  <c r="AU50" i="4"/>
  <c r="BA50" i="4" s="1"/>
  <c r="BA12" i="4"/>
  <c r="AZ12" i="4"/>
  <c r="BK50" i="4"/>
  <c r="BP6" i="4" s="1"/>
  <c r="BP12" i="4"/>
  <c r="BR39" i="4"/>
  <c r="BR49" i="10" l="1"/>
  <c r="BS9" i="10" s="1"/>
  <c r="BP50" i="4"/>
  <c r="BR12" i="4"/>
  <c r="BS23" i="10" l="1"/>
  <c r="BT23" i="10" s="1"/>
  <c r="BV23" i="10"/>
  <c r="BW23" i="10" s="1"/>
  <c r="BX23" i="10" s="1"/>
  <c r="BT9" i="10"/>
  <c r="BS15" i="10"/>
  <c r="BT15" i="10" s="1"/>
  <c r="BS32" i="10"/>
  <c r="BT32" i="10" s="1"/>
  <c r="BS33" i="10"/>
  <c r="BT33" i="10" s="1"/>
  <c r="BS14" i="10"/>
  <c r="BT14" i="10" s="1"/>
  <c r="BS47" i="10"/>
  <c r="BT47" i="10" s="1"/>
  <c r="BS13" i="10"/>
  <c r="BT13" i="10" s="1"/>
  <c r="BS24" i="10"/>
  <c r="BT24" i="10" s="1"/>
  <c r="BS25" i="10"/>
  <c r="BT25" i="10" s="1"/>
  <c r="BS30" i="10"/>
  <c r="BT30" i="10" s="1"/>
  <c r="BS11" i="10"/>
  <c r="BT11" i="10" s="1"/>
  <c r="BS40" i="10"/>
  <c r="BT40" i="10" s="1"/>
  <c r="BS21" i="10"/>
  <c r="BT21" i="10" s="1"/>
  <c r="BS27" i="10"/>
  <c r="BT27" i="10" s="1"/>
  <c r="BS28" i="10"/>
  <c r="BT28" i="10" s="1"/>
  <c r="BS34" i="10"/>
  <c r="BT34" i="10" s="1"/>
  <c r="BS35" i="10"/>
  <c r="BT35" i="10" s="1"/>
  <c r="BS42" i="10"/>
  <c r="BT42" i="10" s="1"/>
  <c r="BS22" i="10"/>
  <c r="BT22" i="10" s="1"/>
  <c r="BS18" i="10"/>
  <c r="BT18" i="10" s="1"/>
  <c r="BS20" i="10"/>
  <c r="BT20" i="10" s="1"/>
  <c r="BS29" i="10"/>
  <c r="BT29" i="10" s="1"/>
  <c r="BS45" i="10"/>
  <c r="BT45" i="10" s="1"/>
  <c r="BS41" i="10"/>
  <c r="BT41" i="10" s="1"/>
  <c r="BS46" i="10"/>
  <c r="BT46" i="10" s="1"/>
  <c r="BS10" i="10"/>
  <c r="BT10" i="10" s="1"/>
  <c r="BS37" i="10"/>
  <c r="BT37" i="10" s="1"/>
  <c r="BS16" i="10"/>
  <c r="BT16" i="10" s="1"/>
  <c r="BS44" i="10"/>
  <c r="BT44" i="10" s="1"/>
  <c r="BS19" i="10"/>
  <c r="BT19" i="10" s="1"/>
  <c r="BS39" i="10"/>
  <c r="BT39" i="10" s="1"/>
  <c r="BS43" i="10"/>
  <c r="BT43" i="10" s="1"/>
  <c r="BS12" i="10"/>
  <c r="BT12" i="10" s="1"/>
  <c r="BS48" i="10"/>
  <c r="BT48" i="10" s="1"/>
  <c r="BS26" i="10"/>
  <c r="BT26" i="10" s="1"/>
  <c r="BS17" i="10"/>
  <c r="BT17" i="10" s="1"/>
  <c r="BS38" i="10"/>
  <c r="BT38" i="10" s="1"/>
  <c r="BS36" i="10"/>
  <c r="BT36" i="10" s="1"/>
  <c r="BS31" i="10"/>
  <c r="BT31" i="10" s="1"/>
  <c r="BR50" i="4"/>
  <c r="BS12" i="4" s="1"/>
  <c r="BV45" i="10" l="1"/>
  <c r="BW45" i="10" s="1"/>
  <c r="BX45" i="10" s="1"/>
  <c r="BV12" i="10"/>
  <c r="BW12" i="10" s="1"/>
  <c r="BX12" i="10" s="1"/>
  <c r="BV20" i="10"/>
  <c r="BW20" i="10" s="1"/>
  <c r="BX20" i="10" s="1"/>
  <c r="BV25" i="10"/>
  <c r="BW25" i="10" s="1"/>
  <c r="BX25" i="10" s="1"/>
  <c r="BV31" i="10"/>
  <c r="BW31" i="10"/>
  <c r="BX31" i="10" s="1"/>
  <c r="BV36" i="10"/>
  <c r="BW36" i="10" s="1"/>
  <c r="BX36" i="10" s="1"/>
  <c r="BV43" i="10"/>
  <c r="BW43" i="10"/>
  <c r="BX43" i="10" s="1"/>
  <c r="BV18" i="10"/>
  <c r="BW18" i="10" s="1"/>
  <c r="BX18" i="10" s="1"/>
  <c r="BV24" i="10"/>
  <c r="BW24" i="10" s="1"/>
  <c r="BX24" i="10" s="1"/>
  <c r="BV29" i="10"/>
  <c r="BW29" i="10" s="1"/>
  <c r="BX29" i="10" s="1"/>
  <c r="BV39" i="10"/>
  <c r="BW39" i="10" s="1"/>
  <c r="BX39" i="10" s="1"/>
  <c r="BV22" i="10"/>
  <c r="BW22" i="10" s="1"/>
  <c r="BX22" i="10" s="1"/>
  <c r="BV13" i="10"/>
  <c r="BW13" i="10"/>
  <c r="BX13" i="10" s="1"/>
  <c r="BT49" i="10"/>
  <c r="BV9" i="10"/>
  <c r="BW9" i="10"/>
  <c r="BV19" i="10"/>
  <c r="BW19" i="10" s="1"/>
  <c r="BX19" i="10" s="1"/>
  <c r="BV42" i="10"/>
  <c r="BW42" i="10" s="1"/>
  <c r="BX42" i="10" s="1"/>
  <c r="BV47" i="10"/>
  <c r="BW47" i="10" s="1"/>
  <c r="BX47" i="10" s="1"/>
  <c r="BS49" i="10"/>
  <c r="BV26" i="10"/>
  <c r="BW26" i="10" s="1"/>
  <c r="BX26" i="10" s="1"/>
  <c r="BV44" i="10"/>
  <c r="BW44" i="10" s="1"/>
  <c r="BX44" i="10" s="1"/>
  <c r="BV35" i="10"/>
  <c r="BW35" i="10" s="1"/>
  <c r="BX35" i="10" s="1"/>
  <c r="BV14" i="10"/>
  <c r="BW14" i="10"/>
  <c r="BX14" i="10" s="1"/>
  <c r="BV16" i="10"/>
  <c r="BW16" i="10" s="1"/>
  <c r="BX16" i="10" s="1"/>
  <c r="BV34" i="10"/>
  <c r="BW34" i="10" s="1"/>
  <c r="BX34" i="10" s="1"/>
  <c r="BV33" i="10"/>
  <c r="BW33" i="10"/>
  <c r="BX33" i="10" s="1"/>
  <c r="BV37" i="10"/>
  <c r="BW37" i="10" s="1"/>
  <c r="BX37" i="10" s="1"/>
  <c r="BV28" i="10"/>
  <c r="BW28" i="10" s="1"/>
  <c r="BX28" i="10" s="1"/>
  <c r="BV32" i="10"/>
  <c r="BW32" i="10" s="1"/>
  <c r="BX32" i="10" s="1"/>
  <c r="BV10" i="10"/>
  <c r="BW10" i="10" s="1"/>
  <c r="BX10" i="10" s="1"/>
  <c r="BV27" i="10"/>
  <c r="BW27" i="10" s="1"/>
  <c r="BX27" i="10" s="1"/>
  <c r="BV15" i="10"/>
  <c r="BW15" i="10" s="1"/>
  <c r="BX15" i="10" s="1"/>
  <c r="BV11" i="10"/>
  <c r="BW11" i="10" s="1"/>
  <c r="BX11" i="10" s="1"/>
  <c r="BV30" i="10"/>
  <c r="BW30" i="10" s="1"/>
  <c r="BX30" i="10" s="1"/>
  <c r="BV38" i="10"/>
  <c r="BW38" i="10" s="1"/>
  <c r="BX38" i="10" s="1"/>
  <c r="BV46" i="10"/>
  <c r="BW46" i="10" s="1"/>
  <c r="BX46" i="10" s="1"/>
  <c r="BV21" i="10"/>
  <c r="BW21" i="10" s="1"/>
  <c r="BX21" i="10" s="1"/>
  <c r="BV48" i="10"/>
  <c r="BW48" i="10" s="1"/>
  <c r="BX48" i="10" s="1"/>
  <c r="BV17" i="10"/>
  <c r="BW17" i="10" s="1"/>
  <c r="BX17" i="10" s="1"/>
  <c r="BV41" i="10"/>
  <c r="BW41" i="10" s="1"/>
  <c r="BX41" i="10" s="1"/>
  <c r="BV40" i="10"/>
  <c r="BW40" i="10" s="1"/>
  <c r="BX40" i="10" s="1"/>
  <c r="BT12" i="4"/>
  <c r="BS19" i="4"/>
  <c r="BT19" i="4" s="1"/>
  <c r="BS36" i="4"/>
  <c r="BT36" i="4" s="1"/>
  <c r="BS48" i="4"/>
  <c r="BT48" i="4" s="1"/>
  <c r="BS33" i="4"/>
  <c r="BT33" i="4" s="1"/>
  <c r="BS37" i="4"/>
  <c r="BT37" i="4" s="1"/>
  <c r="BS32" i="4"/>
  <c r="BT32" i="4" s="1"/>
  <c r="BS13" i="4"/>
  <c r="BT13" i="4" s="1"/>
  <c r="BS47" i="4"/>
  <c r="BT47" i="4" s="1"/>
  <c r="BS24" i="4"/>
  <c r="BT24" i="4" s="1"/>
  <c r="BS42" i="4"/>
  <c r="BT42" i="4" s="1"/>
  <c r="BS22" i="4"/>
  <c r="BT22" i="4" s="1"/>
  <c r="BS43" i="4"/>
  <c r="BT43" i="4" s="1"/>
  <c r="BS31" i="4"/>
  <c r="BT31" i="4" s="1"/>
  <c r="BS49" i="4"/>
  <c r="BT49" i="4" s="1"/>
  <c r="BS30" i="4"/>
  <c r="BT30" i="4" s="1"/>
  <c r="BS18" i="4"/>
  <c r="BT18" i="4" s="1"/>
  <c r="BS15" i="4"/>
  <c r="BT15" i="4" s="1"/>
  <c r="BS40" i="4"/>
  <c r="BT40" i="4" s="1"/>
  <c r="BS35" i="4"/>
  <c r="BT35" i="4" s="1"/>
  <c r="BS17" i="4"/>
  <c r="BT17" i="4" s="1"/>
  <c r="BS44" i="4"/>
  <c r="BT44" i="4" s="1"/>
  <c r="BS27" i="4"/>
  <c r="BT27" i="4" s="1"/>
  <c r="BS25" i="4"/>
  <c r="BT25" i="4" s="1"/>
  <c r="BS20" i="4"/>
  <c r="BT20" i="4" s="1"/>
  <c r="BS34" i="4"/>
  <c r="BT34" i="4" s="1"/>
  <c r="BS16" i="4"/>
  <c r="BT16" i="4" s="1"/>
  <c r="BS14" i="4"/>
  <c r="BT14" i="4" s="1"/>
  <c r="BS38" i="4"/>
  <c r="BT38" i="4" s="1"/>
  <c r="BS46" i="4"/>
  <c r="BT46" i="4" s="1"/>
  <c r="BS29" i="4"/>
  <c r="BT29" i="4" s="1"/>
  <c r="BS21" i="4"/>
  <c r="BT21" i="4" s="1"/>
  <c r="BS41" i="4"/>
  <c r="BT41" i="4" s="1"/>
  <c r="BS28" i="4"/>
  <c r="BT28" i="4" s="1"/>
  <c r="BS45" i="4"/>
  <c r="BT45" i="4" s="1"/>
  <c r="BS39" i="4"/>
  <c r="BT39" i="4" s="1"/>
  <c r="BS26" i="4"/>
  <c r="BT26" i="4" s="1"/>
  <c r="BS23" i="4"/>
  <c r="BT23" i="4" s="1"/>
  <c r="BW49" i="10" l="1"/>
  <c r="BX9" i="10"/>
  <c r="BX49" i="10" s="1"/>
  <c r="BV49" i="10"/>
  <c r="BV24" i="4"/>
  <c r="BW24" i="4" s="1"/>
  <c r="BX24" i="4" s="1"/>
  <c r="BV47" i="4"/>
  <c r="BW47" i="4" s="1"/>
  <c r="BX47" i="4" s="1"/>
  <c r="BV13" i="4"/>
  <c r="BW13" i="4" s="1"/>
  <c r="BX13" i="4" s="1"/>
  <c r="BV46" i="4"/>
  <c r="BW46" i="4" s="1"/>
  <c r="BX46" i="4" s="1"/>
  <c r="BV15" i="4"/>
  <c r="BW15" i="4" s="1"/>
  <c r="BX15" i="4" s="1"/>
  <c r="BV37" i="4"/>
  <c r="BW37" i="4" s="1"/>
  <c r="BX37" i="4" s="1"/>
  <c r="BV38" i="4"/>
  <c r="BW38" i="4" s="1"/>
  <c r="BX38" i="4" s="1"/>
  <c r="BV18" i="4"/>
  <c r="BW18" i="4" s="1"/>
  <c r="BX18" i="4" s="1"/>
  <c r="BV33" i="4"/>
  <c r="BW33" i="4" s="1"/>
  <c r="BX33" i="4" s="1"/>
  <c r="BV41" i="4"/>
  <c r="BW41" i="4" s="1"/>
  <c r="BX41" i="4" s="1"/>
  <c r="BV40" i="4"/>
  <c r="BW40" i="4" s="1"/>
  <c r="BX40" i="4" s="1"/>
  <c r="BV14" i="4"/>
  <c r="BW14" i="4" s="1"/>
  <c r="BX14" i="4" s="1"/>
  <c r="BV30" i="4"/>
  <c r="BW30" i="4" s="1"/>
  <c r="BX30" i="4" s="1"/>
  <c r="BV48" i="4"/>
  <c r="BW48" i="4" s="1"/>
  <c r="BX48" i="4" s="1"/>
  <c r="BV29" i="4"/>
  <c r="BW29" i="4" s="1"/>
  <c r="BX29" i="4" s="1"/>
  <c r="BV16" i="4"/>
  <c r="BW16" i="4" s="1"/>
  <c r="BX16" i="4" s="1"/>
  <c r="BV49" i="4"/>
  <c r="BW49" i="4" s="1"/>
  <c r="BX49" i="4" s="1"/>
  <c r="BV36" i="4"/>
  <c r="BW36" i="4" s="1"/>
  <c r="BX36" i="4" s="1"/>
  <c r="BV44" i="4"/>
  <c r="BW44" i="4" s="1"/>
  <c r="BX44" i="4" s="1"/>
  <c r="BV17" i="4"/>
  <c r="BW17" i="4" s="1"/>
  <c r="BX17" i="4" s="1"/>
  <c r="BV21" i="4"/>
  <c r="BW21" i="4" s="1"/>
  <c r="BX21" i="4" s="1"/>
  <c r="BV23" i="4"/>
  <c r="BW23" i="4" s="1"/>
  <c r="BX23" i="4" s="1"/>
  <c r="BV34" i="4"/>
  <c r="BW34" i="4" s="1"/>
  <c r="BX34" i="4" s="1"/>
  <c r="BV31" i="4"/>
  <c r="BW31" i="4" s="1"/>
  <c r="BX31" i="4" s="1"/>
  <c r="BV19" i="4"/>
  <c r="BW19" i="4" s="1"/>
  <c r="BX19" i="4" s="1"/>
  <c r="BV35" i="4"/>
  <c r="BW35" i="4" s="1"/>
  <c r="BX35" i="4" s="1"/>
  <c r="BV32" i="4"/>
  <c r="BW32" i="4" s="1"/>
  <c r="BX32" i="4" s="1"/>
  <c r="BV26" i="4"/>
  <c r="BW26" i="4" s="1"/>
  <c r="BX26" i="4" s="1"/>
  <c r="BV20" i="4"/>
  <c r="BW20" i="4" s="1"/>
  <c r="BX20" i="4" s="1"/>
  <c r="BV43" i="4"/>
  <c r="BW43" i="4" s="1"/>
  <c r="BX43" i="4" s="1"/>
  <c r="BV39" i="4"/>
  <c r="BW39" i="4" s="1"/>
  <c r="BX39" i="4" s="1"/>
  <c r="BV25" i="4"/>
  <c r="BW25" i="4" s="1"/>
  <c r="BX25" i="4" s="1"/>
  <c r="BV22" i="4"/>
  <c r="BW22" i="4" s="1"/>
  <c r="BX22" i="4" s="1"/>
  <c r="BT50" i="4"/>
  <c r="BV12" i="4"/>
  <c r="BV28" i="4"/>
  <c r="BW28" i="4" s="1"/>
  <c r="BX28" i="4" s="1"/>
  <c r="BV45" i="4"/>
  <c r="BW45" i="4" s="1"/>
  <c r="BX45" i="4" s="1"/>
  <c r="BV27" i="4"/>
  <c r="BW27" i="4" s="1"/>
  <c r="BX27" i="4" s="1"/>
  <c r="BV42" i="4"/>
  <c r="BW42" i="4" s="1"/>
  <c r="BX42" i="4" s="1"/>
  <c r="BS50" i="4"/>
  <c r="BZ42" i="10" l="1"/>
  <c r="R74" i="1" s="1"/>
  <c r="BZ29" i="10"/>
  <c r="R61" i="1" s="1"/>
  <c r="BZ12" i="10"/>
  <c r="R45" i="1" s="1"/>
  <c r="BZ13" i="10"/>
  <c r="R46" i="1" s="1"/>
  <c r="BZ11" i="10"/>
  <c r="R44" i="1" s="1"/>
  <c r="BY44" i="10"/>
  <c r="BZ44" i="10" s="1"/>
  <c r="R76" i="1" s="1"/>
  <c r="BY38" i="10"/>
  <c r="BZ38" i="10" s="1"/>
  <c r="R70" i="1" s="1"/>
  <c r="BY43" i="10"/>
  <c r="BZ43" i="10" s="1"/>
  <c r="R75" i="1" s="1"/>
  <c r="BY37" i="10"/>
  <c r="BZ37" i="10" s="1"/>
  <c r="R69" i="1" s="1"/>
  <c r="BY47" i="10"/>
  <c r="BZ47" i="10" s="1"/>
  <c r="R79" i="1" s="1"/>
  <c r="BY41" i="10"/>
  <c r="BZ41" i="10" s="1"/>
  <c r="R73" i="1" s="1"/>
  <c r="BY40" i="10"/>
  <c r="BZ40" i="10" s="1"/>
  <c r="R72" i="1" s="1"/>
  <c r="R36" i="1" s="1"/>
  <c r="BY36" i="10"/>
  <c r="BZ36" i="10" s="1"/>
  <c r="R68" i="1" s="1"/>
  <c r="R35" i="1" s="1"/>
  <c r="BY48" i="10"/>
  <c r="BZ48" i="10" s="1"/>
  <c r="R80" i="1" s="1"/>
  <c r="BY46" i="10"/>
  <c r="BZ46" i="10" s="1"/>
  <c r="R78" i="1" s="1"/>
  <c r="BY42" i="10"/>
  <c r="BY24" i="10"/>
  <c r="BZ24" i="10" s="1"/>
  <c r="R56" i="1" s="1"/>
  <c r="BY29" i="10"/>
  <c r="BY23" i="10"/>
  <c r="BZ23" i="10" s="1"/>
  <c r="R55" i="1" s="1"/>
  <c r="R32" i="1" s="1"/>
  <c r="BY32" i="10"/>
  <c r="BZ32" i="10" s="1"/>
  <c r="BY19" i="10"/>
  <c r="BZ19" i="10" s="1"/>
  <c r="R51" i="1" s="1"/>
  <c r="BY18" i="10"/>
  <c r="BZ18" i="10" s="1"/>
  <c r="R50" i="1" s="1"/>
  <c r="BY30" i="10"/>
  <c r="BZ30" i="10" s="1"/>
  <c r="R62" i="1" s="1"/>
  <c r="BY22" i="10"/>
  <c r="BZ22" i="10" s="1"/>
  <c r="R54" i="1" s="1"/>
  <c r="BY11" i="10"/>
  <c r="BY35" i="10"/>
  <c r="BZ35" i="10" s="1"/>
  <c r="R67" i="1" s="1"/>
  <c r="BY31" i="10"/>
  <c r="BZ31" i="10" s="1"/>
  <c r="R63" i="1" s="1"/>
  <c r="BY25" i="10"/>
  <c r="BZ25" i="10" s="1"/>
  <c r="R57" i="1" s="1"/>
  <c r="BY15" i="10"/>
  <c r="BZ15" i="10" s="1"/>
  <c r="BY10" i="10"/>
  <c r="BZ10" i="10" s="1"/>
  <c r="R43" i="1" s="1"/>
  <c r="BY21" i="10"/>
  <c r="BZ21" i="10" s="1"/>
  <c r="R53" i="1" s="1"/>
  <c r="BY9" i="10"/>
  <c r="BY13" i="10"/>
  <c r="BY14" i="10"/>
  <c r="BZ14" i="10" s="1"/>
  <c r="R47" i="1" s="1"/>
  <c r="BY28" i="10"/>
  <c r="BZ28" i="10" s="1"/>
  <c r="R60" i="1" s="1"/>
  <c r="BY27" i="10"/>
  <c r="BZ27" i="10" s="1"/>
  <c r="R59" i="1" s="1"/>
  <c r="BY34" i="10"/>
  <c r="BZ34" i="10" s="1"/>
  <c r="R66" i="1" s="1"/>
  <c r="R34" i="1" s="1"/>
  <c r="BY16" i="10"/>
  <c r="BZ16" i="10" s="1"/>
  <c r="R48" i="1" s="1"/>
  <c r="R30" i="1" s="1"/>
  <c r="BY17" i="10"/>
  <c r="BZ17" i="10" s="1"/>
  <c r="R49" i="1" s="1"/>
  <c r="BY26" i="10"/>
  <c r="BZ26" i="10" s="1"/>
  <c r="R58" i="1" s="1"/>
  <c r="BY39" i="10"/>
  <c r="BZ39" i="10" s="1"/>
  <c r="R71" i="1" s="1"/>
  <c r="BY20" i="10"/>
  <c r="BZ20" i="10" s="1"/>
  <c r="R52" i="1" s="1"/>
  <c r="BY12" i="10"/>
  <c r="BY45" i="10"/>
  <c r="BZ45" i="10" s="1"/>
  <c r="R77" i="1" s="1"/>
  <c r="BY33" i="10"/>
  <c r="BZ33" i="10" s="1"/>
  <c r="R65" i="1" s="1"/>
  <c r="BV50" i="4"/>
  <c r="BW12" i="4"/>
  <c r="R33" i="1" l="1"/>
  <c r="R31" i="1"/>
  <c r="R37" i="1"/>
  <c r="R29" i="1"/>
  <c r="R83" i="1"/>
  <c r="S64" i="1"/>
  <c r="R64" i="1"/>
  <c r="BY49" i="10"/>
  <c r="BZ9" i="10"/>
  <c r="R42" i="1" s="1"/>
  <c r="R28" i="1" s="1"/>
  <c r="BW50" i="4"/>
  <c r="BX12" i="4"/>
  <c r="F64" i="1" l="1"/>
  <c r="BZ49" i="10"/>
  <c r="BX50" i="4"/>
  <c r="BY12" i="4" s="1"/>
  <c r="BZ12" i="4" s="1"/>
  <c r="S42" i="1" s="1"/>
  <c r="BY18" i="4" l="1"/>
  <c r="BZ18" i="4" s="1"/>
  <c r="S48" i="1" s="1"/>
  <c r="S30" i="1" s="1"/>
  <c r="BY45" i="4"/>
  <c r="BZ45" i="4" s="1"/>
  <c r="S76" i="1" s="1"/>
  <c r="BY20" i="4"/>
  <c r="BZ20" i="4" s="1"/>
  <c r="S50" i="1" s="1"/>
  <c r="BY36" i="4"/>
  <c r="BZ36" i="4" s="1"/>
  <c r="S67" i="1" s="1"/>
  <c r="BY31" i="4"/>
  <c r="BZ31" i="4" s="1"/>
  <c r="S61" i="1" s="1"/>
  <c r="BY19" i="4"/>
  <c r="BZ19" i="4" s="1"/>
  <c r="S49" i="1" s="1"/>
  <c r="BY48" i="4"/>
  <c r="BZ48" i="4" s="1"/>
  <c r="S79" i="1" s="1"/>
  <c r="BY44" i="4"/>
  <c r="BZ44" i="4" s="1"/>
  <c r="S75" i="1" s="1"/>
  <c r="BY46" i="4"/>
  <c r="BZ46" i="4" s="1"/>
  <c r="S77" i="1" s="1"/>
  <c r="BY21" i="4"/>
  <c r="BZ21" i="4" s="1"/>
  <c r="S51" i="1" s="1"/>
  <c r="BY13" i="4"/>
  <c r="BZ13" i="4" s="1"/>
  <c r="S43" i="1" s="1"/>
  <c r="BY33" i="4"/>
  <c r="BZ33" i="4" s="1"/>
  <c r="S63" i="1" s="1"/>
  <c r="BY37" i="4"/>
  <c r="BZ37" i="4" s="1"/>
  <c r="S68" i="1" s="1"/>
  <c r="BY47" i="4"/>
  <c r="BZ47" i="4" s="1"/>
  <c r="S78" i="1" s="1"/>
  <c r="BY28" i="4"/>
  <c r="BZ28" i="4" s="1"/>
  <c r="S58" i="1" s="1"/>
  <c r="BY34" i="4"/>
  <c r="BZ34" i="4" s="1"/>
  <c r="S65" i="1" s="1"/>
  <c r="BY41" i="4"/>
  <c r="BZ41" i="4" s="1"/>
  <c r="S72" i="1" s="1"/>
  <c r="BY24" i="4"/>
  <c r="BZ24" i="4" s="1"/>
  <c r="S54" i="1" s="1"/>
  <c r="BY26" i="4"/>
  <c r="BZ26" i="4" s="1"/>
  <c r="S56" i="1" s="1"/>
  <c r="BY25" i="4"/>
  <c r="BZ25" i="4" s="1"/>
  <c r="S55" i="1" s="1"/>
  <c r="BY30" i="4"/>
  <c r="BZ30" i="4" s="1"/>
  <c r="S60" i="1" s="1"/>
  <c r="BY16" i="4"/>
  <c r="BZ16" i="4" s="1"/>
  <c r="S46" i="1" s="1"/>
  <c r="BY49" i="4"/>
  <c r="BZ49" i="4" s="1"/>
  <c r="S80" i="1" s="1"/>
  <c r="BY43" i="4"/>
  <c r="BZ43" i="4" s="1"/>
  <c r="S74" i="1" s="1"/>
  <c r="BY15" i="4"/>
  <c r="BZ15" i="4" s="1"/>
  <c r="S45" i="1" s="1"/>
  <c r="BY14" i="4"/>
  <c r="BZ14" i="4" s="1"/>
  <c r="S44" i="1" s="1"/>
  <c r="BY27" i="4"/>
  <c r="BZ27" i="4" s="1"/>
  <c r="S57" i="1" s="1"/>
  <c r="BY38" i="4"/>
  <c r="BZ38" i="4" s="1"/>
  <c r="S69" i="1" s="1"/>
  <c r="BY23" i="4"/>
  <c r="BZ23" i="4" s="1"/>
  <c r="S53" i="1" s="1"/>
  <c r="BY22" i="4"/>
  <c r="BZ22" i="4" s="1"/>
  <c r="S52" i="1" s="1"/>
  <c r="BY35" i="4"/>
  <c r="BZ35" i="4" s="1"/>
  <c r="S66" i="1" s="1"/>
  <c r="BY17" i="4"/>
  <c r="BZ17" i="4" s="1"/>
  <c r="BY29" i="4"/>
  <c r="BZ29" i="4" s="1"/>
  <c r="S59" i="1" s="1"/>
  <c r="BY39" i="4"/>
  <c r="BZ39" i="4" s="1"/>
  <c r="S70" i="1" s="1"/>
  <c r="BY42" i="4"/>
  <c r="BZ42" i="4" s="1"/>
  <c r="S73" i="1" s="1"/>
  <c r="BY32" i="4"/>
  <c r="BZ32" i="4" s="1"/>
  <c r="S62" i="1" s="1"/>
  <c r="BY40" i="4"/>
  <c r="BZ40" i="4" s="1"/>
  <c r="S71" i="1" s="1"/>
  <c r="S34" i="1" l="1"/>
  <c r="S37" i="1"/>
  <c r="S33" i="1"/>
  <c r="S36" i="1"/>
  <c r="S32" i="1"/>
  <c r="S28" i="1"/>
  <c r="S31" i="1"/>
  <c r="S35" i="1"/>
  <c r="BZ50" i="4"/>
  <c r="S47" i="1"/>
  <c r="BY50" i="4"/>
  <c r="S83" i="1" l="1"/>
  <c r="S29" i="1"/>
  <c r="F29" i="1" s="1"/>
  <c r="S81" i="1"/>
  <c r="D80" i="1"/>
  <c r="F79" i="1"/>
  <c r="D79" i="1"/>
  <c r="F78" i="1"/>
  <c r="D78" i="1"/>
  <c r="F77" i="1"/>
  <c r="D77" i="1"/>
  <c r="F76" i="1"/>
  <c r="F74" i="1"/>
  <c r="F73" i="1"/>
  <c r="D73" i="1"/>
  <c r="D72" i="1"/>
  <c r="F71" i="1"/>
  <c r="D71" i="1"/>
  <c r="F70" i="1"/>
  <c r="F69" i="1"/>
  <c r="D69" i="1"/>
  <c r="F68" i="1"/>
  <c r="D68" i="1"/>
  <c r="D67" i="1"/>
  <c r="F66" i="1"/>
  <c r="D66" i="1"/>
  <c r="D64" i="1"/>
  <c r="F62" i="1"/>
  <c r="D61" i="1"/>
  <c r="F60" i="1"/>
  <c r="D60" i="1"/>
  <c r="F59" i="1"/>
  <c r="D59" i="1"/>
  <c r="F58" i="1"/>
  <c r="D58" i="1"/>
  <c r="D56" i="1"/>
  <c r="F55" i="1"/>
  <c r="F54" i="1"/>
  <c r="D54" i="1"/>
  <c r="F53" i="1"/>
  <c r="D53" i="1"/>
  <c r="D51" i="1"/>
  <c r="F50" i="1"/>
  <c r="F49" i="1"/>
  <c r="D49" i="1"/>
  <c r="F48" i="1"/>
  <c r="D48" i="1"/>
  <c r="F47" i="1"/>
  <c r="D47" i="1"/>
  <c r="F46" i="1"/>
  <c r="D46" i="1"/>
  <c r="D45" i="1"/>
  <c r="F44" i="1"/>
  <c r="D44" i="1"/>
  <c r="F43" i="1"/>
  <c r="O81" i="1"/>
  <c r="F42" i="1"/>
  <c r="N81" i="1"/>
  <c r="D42" i="1"/>
  <c r="Q38" i="1"/>
  <c r="O38" i="1"/>
  <c r="F37" i="1"/>
  <c r="D37" i="1"/>
  <c r="F36" i="1"/>
  <c r="D36" i="1"/>
  <c r="F34" i="1"/>
  <c r="D34" i="1"/>
  <c r="D33" i="1"/>
  <c r="F33" i="1"/>
  <c r="F32" i="1"/>
  <c r="D32" i="1"/>
  <c r="F31" i="1"/>
  <c r="D31" i="1"/>
  <c r="F30" i="1"/>
  <c r="D30" i="1"/>
  <c r="D29" i="1"/>
  <c r="N38" i="1"/>
  <c r="M38" i="1"/>
  <c r="F28" i="1"/>
  <c r="D28" i="1"/>
  <c r="G33" i="1" l="1"/>
  <c r="H33" i="1" s="1"/>
  <c r="G37" i="1"/>
  <c r="H37" i="1" s="1"/>
  <c r="G29" i="1"/>
  <c r="H29" i="1" s="1"/>
  <c r="G30" i="1"/>
  <c r="H30" i="1" s="1"/>
  <c r="G31" i="1"/>
  <c r="H31" i="1" s="1"/>
  <c r="G32" i="1"/>
  <c r="H32" i="1" s="1"/>
  <c r="N84" i="1"/>
  <c r="D65" i="1"/>
  <c r="D63" i="1"/>
  <c r="F65" i="1"/>
  <c r="G65" i="1" s="1"/>
  <c r="H65" i="1" s="1"/>
  <c r="R81" i="1"/>
  <c r="S84" i="1"/>
  <c r="D70" i="1"/>
  <c r="G70" i="1" s="1"/>
  <c r="H70" i="1" s="1"/>
  <c r="G69" i="1"/>
  <c r="H69" i="1" s="1"/>
  <c r="F61" i="1"/>
  <c r="G61" i="1" s="1"/>
  <c r="H61" i="1" s="1"/>
  <c r="F72" i="1"/>
  <c r="G72" i="1" s="1"/>
  <c r="H72" i="1" s="1"/>
  <c r="M81" i="1"/>
  <c r="M84" i="1" s="1"/>
  <c r="D57" i="1"/>
  <c r="Q81" i="1"/>
  <c r="D52" i="1"/>
  <c r="F67" i="1"/>
  <c r="G66" i="1"/>
  <c r="H66" i="1" s="1"/>
  <c r="G54" i="1"/>
  <c r="H54" i="1" s="1"/>
  <c r="D74" i="1"/>
  <c r="G74" i="1" s="1"/>
  <c r="H74" i="1" s="1"/>
  <c r="G64" i="1"/>
  <c r="H64" i="1" s="1"/>
  <c r="G44" i="1"/>
  <c r="H44" i="1" s="1"/>
  <c r="G34" i="1"/>
  <c r="H34" i="1" s="1"/>
  <c r="G78" i="1"/>
  <c r="H78" i="1" s="1"/>
  <c r="G58" i="1"/>
  <c r="H58" i="1" s="1"/>
  <c r="O84" i="1"/>
  <c r="G46" i="1"/>
  <c r="H46" i="1" s="1"/>
  <c r="G48" i="1"/>
  <c r="H48" i="1" s="1"/>
  <c r="G79" i="1"/>
  <c r="H79" i="1" s="1"/>
  <c r="G49" i="1"/>
  <c r="H49" i="1" s="1"/>
  <c r="G60" i="1"/>
  <c r="H60" i="1" s="1"/>
  <c r="G71" i="1"/>
  <c r="H71" i="1" s="1"/>
  <c r="G47" i="1"/>
  <c r="H47" i="1" s="1"/>
  <c r="G73" i="1"/>
  <c r="H73" i="1" s="1"/>
  <c r="G53" i="1"/>
  <c r="H53" i="1" s="1"/>
  <c r="F57" i="1"/>
  <c r="F56" i="1"/>
  <c r="D55" i="1"/>
  <c r="G55" i="1" s="1"/>
  <c r="H55" i="1" s="1"/>
  <c r="F63" i="1"/>
  <c r="G68" i="1"/>
  <c r="H68" i="1" s="1"/>
  <c r="F80" i="1"/>
  <c r="G36" i="1"/>
  <c r="H36" i="1" s="1"/>
  <c r="G42" i="1"/>
  <c r="D62" i="1"/>
  <c r="G62" i="1" s="1"/>
  <c r="H62" i="1" s="1"/>
  <c r="F45" i="1"/>
  <c r="F75" i="1"/>
  <c r="F52" i="1"/>
  <c r="G59" i="1"/>
  <c r="H59" i="1" s="1"/>
  <c r="D76" i="1"/>
  <c r="G76" i="1" s="1"/>
  <c r="H76" i="1" s="1"/>
  <c r="R38" i="1"/>
  <c r="D35" i="1"/>
  <c r="D38" i="1" s="1"/>
  <c r="F51" i="1"/>
  <c r="G28" i="1"/>
  <c r="H28" i="1" s="1"/>
  <c r="S38" i="1"/>
  <c r="D50" i="1"/>
  <c r="G50" i="1" s="1"/>
  <c r="H50" i="1" s="1"/>
  <c r="D75" i="1"/>
  <c r="D43" i="1"/>
  <c r="G77" i="1"/>
  <c r="H77" i="1" s="1"/>
  <c r="F35" i="1"/>
  <c r="G63" i="1" l="1"/>
  <c r="F83" i="1"/>
  <c r="G35" i="1"/>
  <c r="H35" i="1" s="1"/>
  <c r="D83" i="1"/>
  <c r="G67" i="1"/>
  <c r="H67" i="1" s="1"/>
  <c r="R84" i="1"/>
  <c r="Q84" i="1"/>
  <c r="F81" i="1"/>
  <c r="D81" i="1"/>
  <c r="F38" i="1"/>
  <c r="G51" i="1"/>
  <c r="H51" i="1" s="1"/>
  <c r="G45" i="1"/>
  <c r="H45" i="1" s="1"/>
  <c r="G43" i="1"/>
  <c r="H43" i="1" s="1"/>
  <c r="G75" i="1"/>
  <c r="H75" i="1" s="1"/>
  <c r="G56" i="1"/>
  <c r="H56" i="1" s="1"/>
  <c r="G57" i="1"/>
  <c r="H57" i="1" s="1"/>
  <c r="G80" i="1"/>
  <c r="H80" i="1" s="1"/>
  <c r="H42" i="1"/>
  <c r="G52" i="1"/>
  <c r="H52" i="1" s="1"/>
  <c r="H63" i="1"/>
  <c r="G83" i="1" l="1"/>
  <c r="H83" i="1" s="1"/>
  <c r="F84" i="1"/>
  <c r="D84" i="1"/>
  <c r="G84" i="1" l="1"/>
  <c r="H8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VITA Program</author>
  </authors>
  <commentList>
    <comment ref="BO6" authorId="0" shapeId="0" xr:uid="{040588D6-CA1F-44C8-8E8B-FC95FE30D3FE}">
      <text>
        <r>
          <rPr>
            <b/>
            <sz val="9"/>
            <color indexed="81"/>
            <rFont val="Tahoma"/>
            <family val="2"/>
          </rPr>
          <t>VITA Program:</t>
        </r>
        <r>
          <rPr>
            <sz val="9"/>
            <color indexed="81"/>
            <rFont val="Tahoma"/>
            <family val="2"/>
          </rPr>
          <t xml:space="preserve">
added 'or' statement to formula to ensure anyone at the 30% cap does not get additional state funding.</t>
        </r>
      </text>
    </comment>
    <comment ref="B15" authorId="0" shapeId="0" xr:uid="{364A8E37-6285-4698-B505-4A32595E9899}">
      <text>
        <r>
          <rPr>
            <b/>
            <sz val="9"/>
            <color indexed="81"/>
            <rFont val="Tahoma"/>
            <family val="2"/>
          </rPr>
          <t>VITA Program:</t>
        </r>
        <r>
          <rPr>
            <sz val="9"/>
            <color indexed="81"/>
            <rFont val="Tahoma"/>
            <family val="2"/>
          </rPr>
          <t xml:space="preserve">
Remove Greene County.  All amounts combined into JAUNT.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VITA Program</author>
  </authors>
  <commentList>
    <comment ref="C13" authorId="0" shapeId="0" xr:uid="{1F329179-9A7D-4B3A-94F4-86DD5A866870}">
      <text>
        <r>
          <rPr>
            <b/>
            <sz val="9"/>
            <color indexed="81"/>
            <rFont val="Tahoma"/>
            <family val="2"/>
          </rPr>
          <t>VITA Program:</t>
        </r>
        <r>
          <rPr>
            <sz val="9"/>
            <color indexed="81"/>
            <rFont val="Tahoma"/>
            <family val="2"/>
          </rPr>
          <t xml:space="preserve">
changed from original list from 3/17/2022</t>
        </r>
      </text>
    </comment>
    <comment ref="C16" authorId="0" shapeId="0" xr:uid="{C76107E3-3369-4207-A7EE-0FDA7E253803}">
      <text>
        <r>
          <rPr>
            <b/>
            <sz val="9"/>
            <color indexed="81"/>
            <rFont val="Tahoma"/>
            <family val="2"/>
          </rPr>
          <t>VITA Program:</t>
        </r>
        <r>
          <rPr>
            <sz val="9"/>
            <color indexed="81"/>
            <rFont val="Tahoma"/>
            <family val="2"/>
          </rPr>
          <t xml:space="preserve">
changed from original schedule 3/17/2022</t>
        </r>
      </text>
    </comment>
    <comment ref="B39" authorId="0" shapeId="0" xr:uid="{A4C2886F-3202-49AF-AA04-C8E7608E961F}">
      <text>
        <r>
          <rPr>
            <b/>
            <sz val="9"/>
            <color indexed="81"/>
            <rFont val="Tahoma"/>
            <family val="2"/>
          </rPr>
          <t>VITA Program:</t>
        </r>
        <r>
          <rPr>
            <sz val="9"/>
            <color indexed="81"/>
            <rFont val="Tahoma"/>
            <family val="2"/>
          </rPr>
          <t xml:space="preserve">
updated 12/14/2021 based on audit.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tc={507E3A32-3055-46DB-B8FB-2E794C7B1527}</author>
    <author>tc={741570A3-C9C6-4F81-87D5-13054DCD66A5}</author>
  </authors>
  <commentList>
    <comment ref="B39" authorId="0" shapeId="0" xr:uid="{507E3A32-3055-46DB-B8FB-2E794C7B1527}">
      <text>
        <t>[Threaded comment]
Your version of Excel allows you to read this threaded comment; however, any edits to it will get removed if the file is opened in a newer version of Excel. Learn more: https://go.microsoft.com/fwlink/?linkid=870924
Comment:
    Added Green Co. Ridership: 63,081</t>
      </text>
    </comment>
    <comment ref="C39" authorId="1" shapeId="0" xr:uid="{741570A3-C9C6-4F81-87D5-13054DCD66A5}">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319,254 (with reported ridership + Green Co. ridership) based on an audit on 12/14/21.</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tc={0737712F-F31A-4366-AFE8-ECFF41C355BC}</author>
    <author>tc={B4891261-8E4B-4BE6-8071-4488F0676AB6}</author>
    <author>tc={F54E6831-F888-4C5B-B938-0FB60A6B1891}</author>
    <author>tc={54AB47AF-763A-4D90-AF60-DD9CDD01FA40}</author>
    <author>tc={10395CB0-DC07-4660-B00C-DFD07B9A1A7F}</author>
    <author>tc={C4271746-15AE-4299-A361-196A6E77AD27}</author>
    <author>tc={B56E2B52-1F0B-4E2A-949F-47AB9546E657}</author>
    <author>tc={9BCC5F34-0AEA-4CE8-8C81-5B1822DD8589}</author>
    <author>tc={DF4BB54F-02B3-4BB3-82AE-D84A3978D297}</author>
    <author>tc={9533238A-D0EF-4373-AC39-DC8E452ACE71}</author>
    <author>tc={8B8742D5-30B2-4CD5-BC86-FD65A566F3E1}</author>
    <author>tc={72988F7F-2133-4632-A656-FA30BCD96B7C}</author>
    <author>tc={644BD732-7F7E-414A-9072-CEAE647B1235}</author>
    <author>tc={6D5098B4-13EA-48E4-BF9B-7CC955287005}</author>
  </authors>
  <commentList>
    <comment ref="C21" authorId="0" shapeId="0" xr:uid="{0737712F-F31A-4366-AFE8-ECFF41C355BC}">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1" authorId="1" shapeId="0" xr:uid="{B4891261-8E4B-4BE6-8071-4488F0676AB6}">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1" authorId="2" shapeId="0" xr:uid="{F54E6831-F888-4C5B-B938-0FB60A6B1891}">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+8,535</t>
      </text>
    </comment>
    <comment ref="F21" authorId="3" shapeId="0" xr:uid="{54AB47AF-763A-4D90-AF60-DD9CDD01FA40}">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+10,112</t>
      </text>
    </comment>
    <comment ref="C25" authorId="4" shapeId="0" xr:uid="{10395CB0-DC07-4660-B00C-DFD07B9A1A7F}">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5" authorId="5" shapeId="0" xr:uid="{C4271746-15AE-4299-A361-196A6E77AD27}">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5" authorId="6" shapeId="0" xr:uid="{B56E2B52-1F0B-4E2A-949F-47AB9546E657}">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+2087</t>
      </text>
    </comment>
    <comment ref="F25" authorId="7" shapeId="0" xr:uid="{9BCC5F34-0AEA-4CE8-8C81-5B1822DD8589}">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+2521</t>
      </text>
    </comment>
    <comment ref="C27" authorId="8" shapeId="0" xr:uid="{DF4BB54F-02B3-4BB3-82AE-D84A3978D297}">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7" authorId="9" shapeId="0" xr:uid="{9533238A-D0EF-4373-AC39-DC8E452ACE71}">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7" authorId="10" shapeId="0" xr:uid="{8B8742D5-30B2-4CD5-BC86-FD65A566F3E1}">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Assumed 49% increase based on FY2022 value</t>
      </text>
    </comment>
    <comment ref="F27" authorId="11" shapeId="0" xr:uid="{72988F7F-2133-4632-A656-FA30BCD96B7C}">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+71,220</t>
      </text>
    </comment>
    <comment ref="C39" authorId="12" shapeId="0" xr:uid="{644BD732-7F7E-414A-9072-CEAE647B1235}">
      <text>
        <t>[Threaded comment]
Your version of Excel allows you to read this threaded comment; however, any edits to it will get removed if the file is opened in a newer version of Excel. Learn more: https://go.microsoft.com/fwlink/?linkid=870924
Comment:
    Added Green Co. hours: 21,594</t>
      </text>
    </comment>
    <comment ref="D39" authorId="13" shapeId="0" xr:uid="{6D5098B4-13EA-48E4-BF9B-7CC955287005}">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118,760 (with reported hours + Green Co. hours) based on an audit on 12/14/21.
Reply:
    Note: This figure would have been significantly higher than what was provided in FY21 (and carried forward in FY22 and 23). The FY21 number was reduced based on an audit. The different this figure will make in the overall allocation is negligible, but I wanted to flag it.</t>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tc={7DA4D8B5-7D1D-4689-B9BD-CB1CDD55208B}</author>
    <author>tc={290B89AC-714F-4D35-8BA7-B0EC44B089C0}</author>
    <author>tc={E12C00E2-FD37-4C80-B16C-03BBDB0DC708}</author>
    <author>tc={D9777348-8CCE-4690-AF49-E1F90A69079D}</author>
    <author>tc={09A40F21-AF48-4619-9C19-87244D0A5DFF}</author>
    <author>tc={5E9A74BA-CFB5-4399-9C2A-EEFD6545D3B7}</author>
    <author>tc={A4AFBB3F-A21F-45F0-8056-685AFB0412CB}</author>
    <author>tc={A6EDF4F5-611E-469A-AAD3-919A3E0C3C7E}</author>
    <author>tc={E0B3AD88-707F-42F1-AFE6-AC595BCC4A94}</author>
    <author>tc={EB397A8F-67BA-49B7-81E2-F2AAA6B8726E}</author>
    <author>tc={30174FAA-EAC5-4D56-9ADE-4B72FAC89B9B}</author>
    <author>tc={02A207B2-87C5-41BE-BD3E-0DCDEF342FCF}</author>
    <author>tc={9892CA20-C0CE-4239-BAA4-E34BE9F4BBC8}</author>
    <author>tc={F99556AA-C4DB-4AB9-A9CC-9F3DEF13276E}</author>
  </authors>
  <commentList>
    <comment ref="C21" authorId="0" shapeId="0" xr:uid="{7DA4D8B5-7D1D-4689-B9BD-CB1CDD55208B}">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1" authorId="1" shapeId="0" xr:uid="{290B89AC-714F-4D35-8BA7-B0EC44B089C0}">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1" authorId="2" shapeId="0" xr:uid="{E12C00E2-FD37-4C80-B16C-03BBDB0DC708}">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+320,678.5</t>
      </text>
    </comment>
    <comment ref="F21" authorId="3" shapeId="0" xr:uid="{D9777348-8CCE-4690-AF49-E1F90A69079D}">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+427962.5</t>
      </text>
    </comment>
    <comment ref="C25" authorId="4" shapeId="0" xr:uid="{09A40F21-AF48-4619-9C19-87244D0A5DFF}">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5" authorId="5" shapeId="0" xr:uid="{5E9A74BA-CFB5-4399-9C2A-EEFD6545D3B7}">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5" authorId="6" shapeId="0" xr:uid="{A4AFBB3F-A21F-45F0-8056-685AFB0412C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+70,604</t>
      </text>
    </comment>
    <comment ref="F25" authorId="7" shapeId="0" xr:uid="{A6EDF4F5-611E-469A-AAD3-919A3E0C3C7E}">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+85,445</t>
      </text>
    </comment>
    <comment ref="C27" authorId="8" shapeId="0" xr:uid="{E0B3AD88-707F-42F1-AFE6-AC595BCC4A94}">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D27" authorId="9" shapeId="0" xr:uid="{EB397A8F-67BA-49B7-81E2-F2AAA6B8726E}">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E27" authorId="10" shapeId="0" xr:uid="{30174FAA-EAC5-4D56-9ADE-4B72FAC89B9B}">
      <text>
        <t>[Threaded comment]
Your version of Excel allows you to read this threaded comment; however, any edits to it will get removed if the file is opened in a newer version of Excel. Learn more: https://go.microsoft.com/fwlink/?linkid=870924
Comment:
    No data provided for deadhead for unidirectional commuter service &gt;20mi
Reply:
    Assumed 58% increase based on FY2022 value</t>
      </text>
    </comment>
    <comment ref="F27" authorId="11" shapeId="0" xr:uid="{02A207B2-87C5-41BE-BD3E-0DCDEF342FCF}">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+1,905,553</t>
      </text>
    </comment>
    <comment ref="C39" authorId="12" shapeId="0" xr:uid="{9892CA20-C0CE-4239-BAA4-E34BE9F4BBC8}">
      <text>
        <t>[Threaded comment]
Your version of Excel allows you to read this threaded comment; however, any edits to it will get removed if the file is opened in a newer version of Excel. Learn more: https://go.microsoft.com/fwlink/?linkid=870924
Comment:
    Added Green Co. Miles: 348,660</t>
      </text>
    </comment>
    <comment ref="D39" authorId="13" shapeId="0" xr:uid="{F99556AA-C4DB-4AB9-A9CC-9F3DEF13276E}">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1,738,303 (with reported miles + Green Co. miles) based on an audit on 12/14/21.
Reply:
    Note: This figure would have been significantly higher than what was provided in FY21 (and carried forward in FY22 and 23). The FY21 number was reduced based on an audit. The different this figure will make in the overall allocation is negligible, but I wanted to flag it.</t>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VITA Program</author>
  </authors>
  <commentList>
    <comment ref="D13" authorId="0" shapeId="0" xr:uid="{7EF71DCA-931F-41E2-AFE4-02B73635A0FF}">
      <text>
        <r>
          <rPr>
            <b/>
            <sz val="9"/>
            <color indexed="81"/>
            <rFont val="Tahoma"/>
            <family val="2"/>
          </rPr>
          <t>VITA Program:</t>
        </r>
        <r>
          <rPr>
            <sz val="9"/>
            <color indexed="81"/>
            <rFont val="Tahoma"/>
            <family val="2"/>
          </rPr>
          <t xml:space="preserve">
changed from original list from 3/17/2022</t>
        </r>
      </text>
    </comment>
    <comment ref="D16" authorId="0" shapeId="0" xr:uid="{02F9B43D-1598-4EEB-B62F-B6CFE252551A}">
      <text>
        <r>
          <rPr>
            <b/>
            <sz val="9"/>
            <color indexed="81"/>
            <rFont val="Tahoma"/>
            <family val="2"/>
          </rPr>
          <t>VITA Program:</t>
        </r>
        <r>
          <rPr>
            <sz val="9"/>
            <color indexed="81"/>
            <rFont val="Tahoma"/>
            <family val="2"/>
          </rPr>
          <t xml:space="preserve">
changed from original schedule 3/17/2022</t>
        </r>
      </text>
    </comment>
    <comment ref="C39" authorId="0" shapeId="0" xr:uid="{E8E06A2E-E128-425D-B6AC-424517950727}">
      <text>
        <r>
          <rPr>
            <b/>
            <sz val="9"/>
            <color indexed="81"/>
            <rFont val="Tahoma"/>
            <family val="2"/>
          </rPr>
          <t>VITA Program:</t>
        </r>
        <r>
          <rPr>
            <sz val="9"/>
            <color indexed="81"/>
            <rFont val="Tahoma"/>
            <family val="2"/>
          </rPr>
          <t xml:space="preserve">
updated 12/14/2021 based on audit.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VITA Program</author>
  </authors>
  <commentList>
    <comment ref="B15" authorId="0" shapeId="0" xr:uid="{1BFCE18E-F567-4FA1-BD31-E2CCBFB93CFA}">
      <text>
        <r>
          <rPr>
            <b/>
            <sz val="9"/>
            <color indexed="81"/>
            <rFont val="Tahoma"/>
            <family val="2"/>
          </rPr>
          <t>VITA Program:</t>
        </r>
        <r>
          <rPr>
            <sz val="9"/>
            <color indexed="81"/>
            <rFont val="Tahoma"/>
            <family val="2"/>
          </rPr>
          <t xml:space="preserve">
Remove Greene County.  All amounts combined into JAUNT.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tc={DC34777D-DEFD-46E4-9FAE-FCB4FD55D3BD}</author>
    <author>tc={C5A1902C-690E-405A-978B-19E345CF9892}</author>
    <author>tc={BD470838-FDB5-4FC9-BA97-72255382F651}</author>
    <author>tc={9B731231-75E0-486F-B2CB-D6CA8AFEF881}</author>
    <author>tc={6BD4884C-0F9E-48D3-B614-C72F71E50B1A}</author>
    <author>tc={158BB771-DE19-4A33-AA6C-CFBDF44627D5}</author>
    <author>tc={0A130C15-8DCB-4445-B861-B3FB9A5DCF2A}</author>
    <author>tc={230DC8E0-DA0C-4007-A7EC-A63297B23D67}</author>
    <author>tc={897712A0-A987-47B2-A8B7-52625D2224DF}</author>
    <author>tc={A45C6B1D-3350-4C5E-AAA3-5C7DC6DD65EE}</author>
  </authors>
  <commentList>
    <comment ref="B8" authorId="0" shapeId="0" xr:uid="{DC34777D-DEFD-46E4-9FAE-FCB4FD55D3BD}">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C8" authorId="1" shapeId="0" xr:uid="{C5A1902C-690E-405A-978B-19E345CF9892}">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D8" authorId="2" shapeId="0" xr:uid="{BD470838-FDB5-4FC9-BA97-72255382F651}">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E8" authorId="3" shapeId="0" xr:uid="{9B731231-75E0-486F-B2CB-D6CA8AFEF881}">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D25" authorId="4" shapeId="0" xr:uid="{6BD4884C-0F9E-48D3-B614-C72F71E50B1A}">
      <text>
        <t>[Threaded comment]
Your version of Excel allows you to read this threaded comment; however, any edits to it will get removed if the file is opened in a newer version of Excel. Learn more: https://go.microsoft.com/fwlink/?linkid=870924
Comment:
    Updated this figure.
Reply:
    To reflect PRTC requested changes to FY23 reporting.</t>
      </text>
    </comment>
    <comment ref="B37" authorId="5" shapeId="0" xr:uid="{158BB771-DE19-4A33-AA6C-CFBDF44627D5}">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C37" authorId="6" shapeId="0" xr:uid="{0A130C15-8DCB-4445-B861-B3FB9A5DCF2A}">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37" authorId="7" shapeId="0" xr:uid="{230DC8E0-DA0C-4007-A7EC-A63297B23D67}">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E37" authorId="8" shapeId="0" xr:uid="{897712A0-A987-47B2-A8B7-52625D2224DF}">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40" authorId="9" shapeId="0" xr:uid="{A45C6B1D-3350-4C5E-AAA3-5C7DC6DD65EE}">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tc={A94E7289-4BE6-4654-B864-86A274B6C453}</author>
    <author>tc={77FA3178-324A-47D9-B9E6-70B9B5A80835}</author>
    <author>tc={414AA6B1-62B6-4223-8069-F187CF5AB749}</author>
    <author>tc={5FB828E3-2283-472C-8663-D93497CCADD0}</author>
    <author>tc={F68BABF9-26C4-48DB-A175-2A9CB472BB28}</author>
    <author>tc={9074C508-C0C6-485E-A740-C0F767CA690B}</author>
    <author>tc={A293055A-AA42-474E-962D-C1D66D731184}</author>
    <author>tc={9C3F345C-01DA-4693-8C45-427A3909B22F}</author>
    <author>tc={1CC202D1-F544-4BD2-A217-E4707836D1AF}</author>
    <author>tc={64CA4BFF-657F-47F9-BA79-B7CD7F1D43E1}</author>
    <author>tc={5DC3E0A7-5F7F-4F3F-B0E5-A065820399CC}</author>
    <author>tc={20BD1786-909A-41FD-A464-8A7023385CE5}</author>
    <author>tc={7D95E41F-B2E0-4E81-B7BA-0496863050D1}</author>
    <author>tc={941D3CDC-1B06-441A-B409-F693F1052815}</author>
    <author>tc={CDAB2D81-9FB2-46D5-817F-C8812729E4BC}</author>
    <author>tc={A42BADB7-8503-44EB-AB55-B5380385B015}</author>
    <author>tc={B70F7576-CFB1-4267-9E72-38C2FBDB5D5E}</author>
    <author>tc={9CD3CD76-DAD6-4ED9-8187-47CFED7615B5}</author>
    <author>tc={C7B3D611-9156-444F-BB7D-FDB08F3C45F1}</author>
    <author>tc={88966832-3695-4F69-8A01-C695E2C91420}</author>
    <author>tc={27EEB3C3-1305-4DDD-8964-CF3C6A5C07EE}</author>
  </authors>
  <commentList>
    <comment ref="B8" authorId="0" shapeId="0" xr:uid="{A94E7289-4BE6-4654-B864-86A274B6C453}">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C8" authorId="1" shapeId="0" xr:uid="{77FA3178-324A-47D9-B9E6-70B9B5A80835}">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D8" authorId="2" shapeId="0" xr:uid="{414AA6B1-62B6-4223-8069-F187CF5AB749}">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E8" authorId="3" shapeId="0" xr:uid="{5FB828E3-2283-472C-8663-D93497CCADD0}">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B20" authorId="4" shapeId="0" xr:uid="{F68BABF9-26C4-48DB-A175-2A9CB472BB28}">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+8,535</t>
      </text>
    </comment>
    <comment ref="C20" authorId="5" shapeId="0" xr:uid="{9074C508-C0C6-485E-A740-C0F767CA690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+10,112</t>
      </text>
    </comment>
    <comment ref="D20" authorId="6" shapeId="0" xr:uid="{A293055A-AA42-474E-962D-C1D66D731184}">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+10,206</t>
      </text>
    </comment>
    <comment ref="E20" authorId="7" shapeId="0" xr:uid="{9C3F345C-01DA-4693-8C45-427A3909B22F}">
      <text>
        <t xml:space="preserve">[Threaded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+ 12,922.92 </t>
      </text>
    </comment>
    <comment ref="B24" authorId="8" shapeId="0" xr:uid="{1CC202D1-F544-4BD2-A217-E4707836D1AF}">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+2087</t>
      </text>
    </comment>
    <comment ref="C24" authorId="9" shapeId="0" xr:uid="{64CA4BFF-657F-47F9-BA79-B7CD7F1D43E1}">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+2521</t>
      </text>
    </comment>
    <comment ref="B25" authorId="10" shapeId="0" xr:uid="{5DC3E0A7-5F7F-4F3F-B0E5-A065820399CC}">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Assumed 49% increase based on FY2022 value</t>
      </text>
    </comment>
    <comment ref="C25" authorId="11" shapeId="0" xr:uid="{20BD1786-909A-41FD-A464-8A7023385CE5}">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+71,220</t>
      </text>
    </comment>
    <comment ref="D25" authorId="12" shapeId="0" xr:uid="{7D95E41F-B2E0-4E81-B7BA-0496863050D1}">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+57,989</t>
      </text>
    </comment>
    <comment ref="E25" authorId="13" shapeId="0" xr:uid="{941D3CDC-1B06-441A-B409-F693F1052815}">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+ 62,202</t>
      </text>
    </comment>
    <comment ref="D27" authorId="14" shapeId="0" xr:uid="{CDAB2D81-9FB2-46D5-817F-C8812729E4BC}">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+1,652</t>
      </text>
    </comment>
    <comment ref="E27" authorId="15" shapeId="0" xr:uid="{A42BADB7-8503-44EB-AB55-B5380385B015}">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+2,457</t>
      </text>
    </comment>
    <comment ref="B37" authorId="16" shapeId="0" xr:uid="{B70F7576-CFB1-4267-9E72-38C2FBDB5D5E}">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C37" authorId="17" shapeId="0" xr:uid="{9CD3CD76-DAD6-4ED9-8187-47CFED7615B5}">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37" authorId="18" shapeId="0" xr:uid="{C7B3D611-9156-444F-BB7D-FDB08F3C45F1}">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E37" authorId="19" shapeId="0" xr:uid="{88966832-3695-4F69-8A01-C695E2C91420}">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40" authorId="20" shapeId="0" xr:uid="{27EEB3C3-1305-4DDD-8964-CF3C6A5C07EE}">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tc={71E5E45E-2117-4FA6-AFF2-44F79113BFC5}</author>
    <author>tc={4CB0FBED-090B-4E35-B89F-61872953A2A4}</author>
    <author>tc={B4B2129C-8416-4C7C-AEE4-C7DF31C8BF46}</author>
    <author>tc={ECF50410-55C0-445B-BE4C-E04D61502B94}</author>
    <author>tc={F74EEB0F-92C1-4CDB-9D25-02FC705D3CDF}</author>
    <author>tc={75931F0B-7808-4A13-A7FB-8BC48ABBCB6C}</author>
    <author>tc={C218CCF8-FEC0-440A-8D33-AB487A2112B8}</author>
    <author>tc={A1DA6286-6D19-4909-A86B-DEDC016CFFB2}</author>
    <author>tc={17A99FFB-6488-4583-BC95-50E09007596E}</author>
    <author>tc={704D1880-5D42-4617-96EB-0ECAC0BCEDC9}</author>
    <author>tc={A64E9BB3-84BF-489B-B8CE-03AF22A08482}</author>
    <author>tc={E1079B80-F7D0-41FA-922B-2D5B4CD4043E}</author>
    <author>tc={911E31A7-D581-48E9-BE8A-40056D2A2992}</author>
    <author>tc={5078DE4F-09E6-435F-85E2-45BC5BBBB31B}</author>
    <author>tc={C5109E26-FCF0-4A38-AB19-A70287521CD2}</author>
    <author>tc={31FAB7D5-76AE-4619-9939-B469A82B54EE}</author>
    <author>tc={89CF4387-5549-4D13-87E2-E76111E17ED7}</author>
    <author>tc={7D26ADA7-EC16-49D7-A58E-9BF8B59B3C2E}</author>
    <author>tc={933231E2-DAB7-4C54-8CC4-EF60EFB9639F}</author>
    <author>tc={5398DE9E-0D8C-4AA0-B4DB-6CC0BC8C2A33}</author>
    <author>tc={0FD60303-7A70-4810-864F-C74FD0051789}</author>
  </authors>
  <commentList>
    <comment ref="B8" authorId="0" shapeId="0" xr:uid="{71E5E45E-2117-4FA6-AFF2-44F79113BFC5}">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C8" authorId="1" shapeId="0" xr:uid="{4CB0FBED-090B-4E35-B89F-61872953A2A4}">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D8" authorId="2" shapeId="0" xr:uid="{B4B2129C-8416-4C7C-AEE4-C7DF31C8BF46}">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E8" authorId="3" shapeId="0" xr:uid="{ECF50410-55C0-445B-BE4C-E04D61502B94}">
      <text>
        <t>[Threaded comment]
Your version of Excel allows you to read this threaded comment; however, any edits to it will get removed if the file is opened in a newer version of Excel. Learn more: https://go.microsoft.com/fwlink/?linkid=870924
Comment:
    Added paratransit to CATs figures for FY21-FY24.</t>
      </text>
    </comment>
    <comment ref="B20" authorId="4" shapeId="0" xr:uid="{F74EEB0F-92C1-4CDB-9D25-02FC705D3CDF}">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+320,678.5</t>
      </text>
    </comment>
    <comment ref="C20" authorId="5" shapeId="0" xr:uid="{75931F0B-7808-4A13-A7FB-8BC48ABBCB6C}">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+427962.5</t>
      </text>
    </comment>
    <comment ref="D20" authorId="6" shapeId="0" xr:uid="{C218CCF8-FEC0-440A-8D33-AB487A2112B8}">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+ 501,367</t>
      </text>
    </comment>
    <comment ref="E20" authorId="7" shapeId="0" xr:uid="{A1DA6286-6D19-4909-A86B-DEDC016CFFB2}">
      <text>
        <t xml:space="preserve">[Threaded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+ 587,607 </t>
      </text>
    </comment>
    <comment ref="B24" authorId="8" shapeId="0" xr:uid="{17A99FFB-6488-4583-BC95-50E09007596E}">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+70,604</t>
      </text>
    </comment>
    <comment ref="C24" authorId="9" shapeId="0" xr:uid="{704D1880-5D42-4617-96EB-0ECAC0BCEDC9}">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+85,445</t>
      </text>
    </comment>
    <comment ref="B25" authorId="10" shapeId="0" xr:uid="{A64E9BB3-84BF-489B-B8CE-03AF22A08482}">
      <text>
        <t>[Threaded comment]
Your version of Excel allows you to read this threaded comment; however, any edits to it will get removed if the file is opened in a newer version of Excel. Learn more: https://go.microsoft.com/fwlink/?linkid=870924
Comment:
    No data provided for deadhead for unidirectional commuter service &gt;20mi
Reply:
    Assumed 58% increase based on FY2022 value</t>
      </text>
    </comment>
    <comment ref="C25" authorId="11" shapeId="0" xr:uid="{E1079B80-F7D0-41FA-922B-2D5B4CD4043E}">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+1,905,553</t>
      </text>
    </comment>
    <comment ref="D25" authorId="12" shapeId="0" xr:uid="{911E31A7-D581-48E9-BE8A-40056D2A2992}">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+1,784,701</t>
      </text>
    </comment>
    <comment ref="E25" authorId="13" shapeId="0" xr:uid="{5078DE4F-09E6-435F-85E2-45BC5BBBB31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+ 1,922,948</t>
      </text>
    </comment>
    <comment ref="D27" authorId="14" shapeId="0" xr:uid="{C5109E26-FCF0-4A38-AB19-A70287521CD2}">
      <text>
        <t xml:space="preserve">[Threaded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+34,410 </t>
      </text>
    </comment>
    <comment ref="E27" authorId="15" shapeId="0" xr:uid="{31FAB7D5-76AE-4619-9939-B469A82B54EE}">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+60,554</t>
      </text>
    </comment>
    <comment ref="B37" authorId="16" shapeId="0" xr:uid="{89CF4387-5549-4D13-87E2-E76111E17ED7}">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C37" authorId="17" shapeId="0" xr:uid="{7D26ADA7-EC16-49D7-A58E-9BF8B59B3C2E}">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37" authorId="18" shapeId="0" xr:uid="{933231E2-DAB7-4C54-8CC4-EF60EFB9639F}">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E37" authorId="19" shapeId="0" xr:uid="{5398DE9E-0D8C-4AA0-B4DB-6CC0BC8C2A33}">
      <text>
        <t>[Threaded comment]
Your version of Excel allows you to read this threaded comment; however, any edits to it will get removed if the file is opened in a newer version of Excel. Learn more: https://go.microsoft.com/fwlink/?linkid=870924
Comment:
    Removed paratransit from Jaunts figures for FY21-FY24.</t>
      </text>
    </comment>
    <comment ref="D40" authorId="20" shapeId="0" xr:uid="{0FD60303-7A70-4810-864F-C74FD0051789}">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tc={E1B226E7-1AC3-4A71-B422-04B52CB89758}</author>
    <author>tc={EBADA2E9-434E-4F01-9ADC-F89A91AF444A}</author>
    <author>tc={C3BD487C-DC58-449E-9D08-66C33C47B715}</author>
    <author>VITA Program</author>
    <author>tc={53035F4B-371E-4A03-BC4A-1E7DBBD2B6D0}</author>
    <author>tc={6F18292E-E031-4B47-A49E-9CF7E9C34E0F}</author>
  </authors>
  <commentList>
    <comment ref="B8" authorId="0" shapeId="0" xr:uid="{E1B226E7-1AC3-4A71-B422-04B52CB89758}">
      <text>
        <t>[Threaded comment]
Your version of Excel allows you to read this threaded comment; however, any edits to it will get removed if the file is opened in a newer version of Excel. Learn more: https://go.microsoft.com/fwlink/?linkid=870924
Comment:
    Revised 03/06/25.  Includes Jaunt Urban amount.</t>
      </text>
    </comment>
    <comment ref="C8" authorId="1" shapeId="0" xr:uid="{EBADA2E9-434E-4F01-9ADC-F89A91AF444A}">
      <text>
        <t>[Threaded comment]
Your version of Excel allows you to read this threaded comment; however, any edits to it will get removed if the file is opened in a newer version of Excel. Learn more: https://go.microsoft.com/fwlink/?linkid=870924
Comment:
    Revised 3/6/2025.  Includes Jaunt Urban.</t>
      </text>
    </comment>
    <comment ref="D8" authorId="2" shapeId="0" xr:uid="{C3BD487C-DC58-449E-9D08-66C33C47B715}">
      <text>
        <t>[Threaded comment]
Your version of Excel allows you to read this threaded comment; however, any edits to it will get removed if the file is opened in a newer version of Excel. Learn more: https://go.microsoft.com/fwlink/?linkid=870924
Comment:
    Revised 3/6/2025. Includes Jaunt Urban.</t>
      </text>
    </comment>
    <comment ref="C12" authorId="3" shapeId="0" xr:uid="{43DC46D7-5E23-4521-8E37-B3D74D0DCBF9}">
      <text>
        <r>
          <rPr>
            <b/>
            <sz val="9"/>
            <color indexed="81"/>
            <rFont val="Tahoma"/>
            <family val="2"/>
          </rPr>
          <t>VITA Program:</t>
        </r>
        <r>
          <rPr>
            <sz val="9"/>
            <color indexed="81"/>
            <rFont val="Tahoma"/>
            <family val="2"/>
          </rPr>
          <t xml:space="preserve">
changed from original list from 3/17/2022</t>
        </r>
      </text>
    </comment>
    <comment ref="C15" authorId="3" shapeId="0" xr:uid="{67EB6257-5CCD-4355-9A82-FFB37C3E3132}">
      <text>
        <r>
          <rPr>
            <b/>
            <sz val="9"/>
            <color indexed="81"/>
            <rFont val="Tahoma"/>
            <family val="2"/>
          </rPr>
          <t>VITA Program:</t>
        </r>
        <r>
          <rPr>
            <sz val="9"/>
            <color indexed="81"/>
            <rFont val="Tahoma"/>
            <family val="2"/>
          </rPr>
          <t xml:space="preserve">
changed from original schedule 3/17/2022</t>
        </r>
      </text>
    </comment>
    <comment ref="B37" authorId="3" shapeId="0" xr:uid="{40C761B0-E3F5-48C8-8CC0-912F665409AD}">
      <text>
        <r>
          <rPr>
            <sz val="10"/>
            <rFont val="Arial"/>
            <family val="2"/>
          </rPr>
          <t>VITA Program:
updated 12/14/2021 based on audit.  Revised 3/6/2025.  Removes JAUNT Urban.</t>
        </r>
      </text>
    </comment>
    <comment ref="C37" authorId="4" shapeId="0" xr:uid="{53035F4B-371E-4A03-BC4A-1E7DBBD2B6D0}">
      <text>
        <t>[Threaded comment]
Your version of Excel allows you to read this threaded comment; however, any edits to it will get removed if the file is opened in a newer version of Excel. Learn more: https://go.microsoft.com/fwlink/?linkid=870924
Comment:
    Revised 3/6/2025.  Removes JAUNT Urban.</t>
      </text>
    </comment>
    <comment ref="D37" authorId="5" shapeId="0" xr:uid="{6F18292E-E031-4B47-A49E-9CF7E9C34E0F}">
      <text>
        <t>[Threaded comment]
Your version of Excel allows you to read this threaded comment; however, any edits to it will get removed if the file is opened in a newer version of Excel. Learn more: https://go.microsoft.com/fwlink/?linkid=870924
Comment:
    Revised 3/6/2025.  Removes JAUNT Urban.</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tc={51CE0BBA-DE82-43D0-BDC6-B7433C580252}</author>
    <author>tc={4F10C27E-1C76-438E-B9A3-8E496D87FB14}</author>
  </authors>
  <commentList>
    <comment ref="B39" authorId="0" shapeId="0" xr:uid="{51CE0BBA-DE82-43D0-BDC6-B7433C580252}">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319,254 (with reported ridership + Green Co. ridership) based on an audit on 12/14/21.</t>
      </text>
    </comment>
    <comment ref="E42" authorId="1" shapeId="0" xr:uid="{4F10C27E-1C76-438E-B9A3-8E496D87FB14}">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tc={7FD1D592-F98C-4915-8539-BAB9A28D908A}</author>
    <author>tc={DAC134FC-4C64-432A-A1EE-EBD65A0F638B}</author>
    <author>tc={D0E25D27-0B89-4D67-B5AF-1FBFA7B9E90D}</author>
    <author>tc={054DFBEA-A617-4610-8DE1-FF1C3DE19C19}</author>
    <author>tc={85E23C4F-8598-4938-BB58-C8BDA653806A}</author>
    <author>tc={A9F7732D-1E84-4AB9-A033-98B6EB0FD7A3}</author>
    <author>tc={2F23C6E5-7556-4BC5-8A49-6622354FF6EB}</author>
    <author>tc={B6F7801E-3EA6-4A70-906D-D966549FBA3D}</author>
    <author>tc={AB29D4D3-9A2D-4DB8-8750-E5295833BA15}</author>
    <author>tc={94474FF5-010B-4257-A804-C7FA2AB0117E}</author>
    <author>tc={6AD4030D-827E-4BBC-822C-6DF6F0EF15DF}</author>
    <author>tc={6742D56C-4D8E-4A94-B6BD-4EF08D3BA942}</author>
    <author>tc={1482AA3A-A8BD-4CB6-BA8D-DB1D1EB8D00E}</author>
    <author>tc={707CC7D6-D9FB-431D-9B1F-6DA75B2BFF7E}</author>
  </authors>
  <commentList>
    <comment ref="B21" authorId="0" shapeId="0" xr:uid="{7FD1D592-F98C-4915-8539-BAB9A28D908A}">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1" authorId="1" shapeId="0" xr:uid="{DAC134FC-4C64-432A-A1EE-EBD65A0F638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+8,535</t>
      </text>
    </comment>
    <comment ref="D21" authorId="2" shapeId="0" xr:uid="{D0E25D27-0B89-4D67-B5AF-1FBFA7B9E90D}">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+10,112</t>
      </text>
    </comment>
    <comment ref="E21" authorId="3" shapeId="0" xr:uid="{054DFBEA-A617-4610-8DE1-FF1C3DE19C19}">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+10,206</t>
      </text>
    </comment>
    <comment ref="B25" authorId="4" shapeId="0" xr:uid="{85E23C4F-8598-4938-BB58-C8BDA653806A}">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5" authorId="5" shapeId="0" xr:uid="{A9F7732D-1E84-4AB9-A033-98B6EB0FD7A3}">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+2087</t>
      </text>
    </comment>
    <comment ref="D25" authorId="6" shapeId="0" xr:uid="{2F23C6E5-7556-4BC5-8A49-6622354FF6E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+2521</t>
      </text>
    </comment>
    <comment ref="B27" authorId="7" shapeId="0" xr:uid="{B6F7801E-3EA6-4A70-906D-D966549FBA3D}">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7" authorId="8" shapeId="0" xr:uid="{AB29D4D3-9A2D-4DB8-8750-E5295833BA15}">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Assumed 49% increase based on FY2022 value</t>
      </text>
    </comment>
    <comment ref="D27" authorId="9" shapeId="0" xr:uid="{94474FF5-010B-4257-A804-C7FA2AB0117E}">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+71,220</t>
      </text>
    </comment>
    <comment ref="E27" authorId="10" shapeId="0" xr:uid="{6AD4030D-827E-4BBC-822C-6DF6F0EF15DF}">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+57,989</t>
      </text>
    </comment>
    <comment ref="E29" authorId="11" shapeId="0" xr:uid="{6742D56C-4D8E-4A94-B6BD-4EF08D3BA942}">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+1,652</t>
      </text>
    </comment>
    <comment ref="B39" authorId="12" shapeId="0" xr:uid="{1482AA3A-A8BD-4CB6-BA8D-DB1D1EB8D00E}">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118,760 (with reported hours + Green Co. hours) based on an audit on 12/14/21.
Reply:
    Note: This figure would have been significantly higher than what was provided in FY21 (and carried forward in FY22 and 23). The FY21 number was reduced based on an audit. The different this figure will make in the overall allocation is negligible, but I wanted to flag it.</t>
      </text>
    </comment>
    <comment ref="E42" authorId="13" shapeId="0" xr:uid="{707CC7D6-D9FB-431D-9B1F-6DA75B2BFF7E}">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tc={5A2B0AF0-4601-4340-8FF9-52FB4FE0D882}</author>
    <author>tc={D9D85AAD-7EA0-4C39-B847-230645E9C7A9}</author>
    <author>tc={E605AB4F-149C-4EB9-A057-7E196054A876}</author>
    <author>tc={340D8C82-B23B-4641-BB26-9E29D39BE1B5}</author>
    <author>tc={36983C6B-2162-4A43-A7EC-E01C1999A35D}</author>
    <author>tc={428FAD6E-EAA5-463F-B383-D630F4C35BC9}</author>
    <author>tc={8380F502-91E5-468B-8B33-159244E9D724}</author>
    <author>tc={2525DB9D-A023-47FA-BAE1-A145F59ACB75}</author>
    <author>tc={8A94FD02-3ED1-4239-B02A-BB70B6AFDFFC}</author>
    <author>tc={D40A2267-ADC4-47A8-9E84-AAED5AB9F8C6}</author>
    <author>tc={5A9B2958-7AE0-4FB4-AECC-6CF6012CC36B}</author>
    <author>tc={4222E1C7-3373-4E27-A1DF-166166595744}</author>
    <author>tc={8FF73F4A-71B5-48CE-B80C-CA9D0282122B}</author>
    <author>tc={D99A6477-F603-4F0E-B9B5-8D1A5948D03C}</author>
  </authors>
  <commentList>
    <comment ref="B21" authorId="0" shapeId="0" xr:uid="{5A2B0AF0-4601-4340-8FF9-52FB4FE0D882}">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1" authorId="1" shapeId="0" xr:uid="{D9D85AAD-7EA0-4C39-B847-230645E9C7A9}">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+320,678.5</t>
      </text>
    </comment>
    <comment ref="D21" authorId="2" shapeId="0" xr:uid="{E605AB4F-149C-4EB9-A057-7E196054A876}">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+427962.5</t>
      </text>
    </comment>
    <comment ref="E21" authorId="3" shapeId="0" xr:uid="{340D8C82-B23B-4641-BB26-9E29D39BE1B5}">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+ 501,367</t>
      </text>
    </comment>
    <comment ref="B25" authorId="4" shapeId="0" xr:uid="{36983C6B-2162-4A43-A7EC-E01C1999A35D}">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5" authorId="5" shapeId="0" xr:uid="{428FAD6E-EAA5-463F-B383-D630F4C35BC9}">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+70,604</t>
      </text>
    </comment>
    <comment ref="D25" authorId="6" shapeId="0" xr:uid="{8380F502-91E5-468B-8B33-159244E9D724}">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&gt;20
Reply:
    +85,445</t>
      </text>
    </comment>
    <comment ref="B27" authorId="7" shapeId="0" xr:uid="{2525DB9D-A023-47FA-BAE1-A145F59ACB75}">
      <text>
        <t>[Threaded comment]
Your version of Excel allows you to read this threaded comment; however, any edits to it will get removed if the file is opened in a newer version of Excel. Learn more: https://go.microsoft.com/fwlink/?linkid=870924
Comment:
    Used values included in FY23 SYIP</t>
      </text>
    </comment>
    <comment ref="C27" authorId="8" shapeId="0" xr:uid="{8A94FD02-3ED1-4239-B02A-BB70B6AFDFFC}">
      <text>
        <t>[Threaded comment]
Your version of Excel allows you to read this threaded comment; however, any edits to it will get removed if the file is opened in a newer version of Excel. Learn more: https://go.microsoft.com/fwlink/?linkid=870924
Comment:
    No data provided for deadhead for unidirectional commuter service &gt;20mi
Reply:
    Assumed 58% increase based on FY2022 value</t>
      </text>
    </comment>
    <comment ref="D27" authorId="9" shapeId="0" xr:uid="{D40A2267-ADC4-47A8-9E84-AAED5AB9F8C6}">
      <text>
        <t>[Threaded comment]
Your version of Excel allows you to read this threaded comment; however, any edits to it will get removed if the file is opened in a newer version of Excel. Learn more: https://go.microsoft.com/fwlink/?linkid=870924
Comment:
    Added deadhead for uni-directional communter routes &gt;20mi
Reply:
    +1,905,553</t>
      </text>
    </comment>
    <comment ref="E27" authorId="10" shapeId="0" xr:uid="{5A9B2958-7AE0-4FB4-AECC-6CF6012CC36B}">
      <text>
        <t>[Threaded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+1,784,701</t>
      </text>
    </comment>
    <comment ref="E29" authorId="11" shapeId="0" xr:uid="{4222E1C7-3373-4E27-A1DF-166166595744}">
      <text>
        <t xml:space="preserve">[Threaded comment]
Your version of Excel allows you to read this threaded comment; however, any edits to it will get removed if the file is opened in a newer version of Excel. Learn more: https://go.microsoft.com/fwlink/?linkid=870924
Comment:
    Added deadhead for uni-directional commuter routes &gt; 20 mi
Reply:
    +34,410 </t>
      </text>
    </comment>
    <comment ref="B39" authorId="12" shapeId="0" xr:uid="{8FF73F4A-71B5-48CE-B80C-CA9D0282122B}">
      <text>
        <t>[Threaded comment]
Your version of Excel allows you to read this threaded comment; however, any edits to it will get removed if the file is opened in a newer version of Excel. Learn more: https://go.microsoft.com/fwlink/?linkid=870924
Comment:
    Carried forward figure from FY21 SYIP (and FY22 and FY23). This figure was reduced from 1,738,303 (with reported miles + Green Co. miles) based on an audit on 12/14/21.
Reply:
    Note: This figure would have been significantly higher than what was provided in FY21 (and carried forward in FY22 and 23). The FY21 number was reduced based on an audit. The different this figure will make in the overall allocation is negligible, but I wanted to flag it.</t>
      </text>
    </comment>
    <comment ref="E42" authorId="13" shapeId="0" xr:uid="{D99A6477-F603-4F0E-B9B5-8D1A5948D03C}">
      <text>
        <t>[Threaded comment]
Your version of Excel allows you to read this threaded comment; however, any edits to it will get removed if the file is opened in a newer version of Excel. Learn more: https://go.microsoft.com/fwlink/?linkid=870924
Comment:
    Combined VRT and NSVRC (ShenGo Demo) reported figures.</t>
      </text>
    </comment>
  </commentList>
</comments>
</file>

<file path=xl/sharedStrings.xml><?xml version="1.0" encoding="utf-8"?>
<sst xmlns="http://schemas.openxmlformats.org/spreadsheetml/2006/main" count="2058" uniqueCount="246">
  <si>
    <t>SCENARIO</t>
  </si>
  <si>
    <t>CURRENT</t>
  </si>
  <si>
    <t>#</t>
  </si>
  <si>
    <t>S6C - MAJOR COMBINATION</t>
  </si>
  <si>
    <t>Objectives:</t>
  </si>
  <si>
    <t>Outcome Focused</t>
  </si>
  <si>
    <t xml:space="preserve">Ridership = Cost; &gt;Service </t>
  </si>
  <si>
    <t>Performance Based</t>
  </si>
  <si>
    <t>Set-aside+left overs; 35% Cap</t>
  </si>
  <si>
    <t>Simplified</t>
  </si>
  <si>
    <t>None</t>
  </si>
  <si>
    <t>Predictability</t>
  </si>
  <si>
    <t>SIZE-WEIGHT</t>
  </si>
  <si>
    <t>Operating Cost</t>
  </si>
  <si>
    <t>S6</t>
  </si>
  <si>
    <t>Ridership</t>
  </si>
  <si>
    <t>Revenue Hours</t>
  </si>
  <si>
    <t>Revenue Miles</t>
  </si>
  <si>
    <t xml:space="preserve">4-YEAR PERFORMANCE </t>
  </si>
  <si>
    <t>Passengers/Rev Hour</t>
  </si>
  <si>
    <t xml:space="preserve">TREND ADJUSTMENT </t>
  </si>
  <si>
    <t>Passengers/Rev Mile</t>
  </si>
  <si>
    <t>TO SIZE-WEIGHT</t>
  </si>
  <si>
    <t>Cost/Rev Hour</t>
  </si>
  <si>
    <t xml:space="preserve">Cost/Rev Mile </t>
  </si>
  <si>
    <t>Cost/Passenger</t>
  </si>
  <si>
    <t>REDISTRIBUTION APPROACH</t>
  </si>
  <si>
    <t>Iterative until revenue exhausted</t>
  </si>
  <si>
    <t>Iterative until performance allocation exhausted</t>
  </si>
  <si>
    <t>PERFORMANCE</t>
  </si>
  <si>
    <t>Amount</t>
  </si>
  <si>
    <t>N/A</t>
  </si>
  <si>
    <t>5% Set-aside + Capped-out Remainder</t>
  </si>
  <si>
    <t xml:space="preserve">BASED </t>
  </si>
  <si>
    <t>Approach</t>
  </si>
  <si>
    <t>Indexed to State Avg.</t>
  </si>
  <si>
    <t>ALLOCATION</t>
  </si>
  <si>
    <t>Passengers/Cost</t>
  </si>
  <si>
    <t>CAP</t>
  </si>
  <si>
    <t>Initial Distribution</t>
  </si>
  <si>
    <t>Redistribution</t>
  </si>
  <si>
    <t>Construction District</t>
  </si>
  <si>
    <t>Average Allocation According to Current Approach</t>
  </si>
  <si>
    <t>Average Allocation According to Revised Approach</t>
  </si>
  <si>
    <t>Difference</t>
  </si>
  <si>
    <t>% Difference</t>
  </si>
  <si>
    <t>Allocation According to Current Approach</t>
  </si>
  <si>
    <t>Allocation According to Revised Approach</t>
  </si>
  <si>
    <t>BY DISTRICT</t>
  </si>
  <si>
    <t>Bristol</t>
  </si>
  <si>
    <t>Culpeper</t>
  </si>
  <si>
    <t>Fredericksburg</t>
  </si>
  <si>
    <t xml:space="preserve">Hampton Roads </t>
  </si>
  <si>
    <t>Lynchburg</t>
  </si>
  <si>
    <t>Northern Virginia</t>
  </si>
  <si>
    <t>Richmond</t>
  </si>
  <si>
    <t>Salem</t>
  </si>
  <si>
    <t>Staunton</t>
  </si>
  <si>
    <t>XMulti</t>
  </si>
  <si>
    <t>Recipient (Eligible Agency)</t>
  </si>
  <si>
    <t>AASC / Four County Transit</t>
  </si>
  <si>
    <t>City of Bristol Virginia</t>
  </si>
  <si>
    <t>District Three Public Transit</t>
  </si>
  <si>
    <t>Mountain Empire Older Citizens, Inc.</t>
  </si>
  <si>
    <t>Town of Bluefield-Graham Transit</t>
  </si>
  <si>
    <t>Charlottesville Area Transit</t>
  </si>
  <si>
    <t>FRED / Fredericksburg Regional Transit</t>
  </si>
  <si>
    <t>City of Suffolk</t>
  </si>
  <si>
    <t>Greensville County</t>
  </si>
  <si>
    <t>Hampton Roads Transit</t>
  </si>
  <si>
    <t>STAR Transit</t>
  </si>
  <si>
    <t>Town of Chincoteague</t>
  </si>
  <si>
    <t>Williamsburg Area Transit Authority</t>
  </si>
  <si>
    <t>Danville Transit System</t>
  </si>
  <si>
    <t>Farmville Area Bus</t>
  </si>
  <si>
    <t>Greater Lynchburg Transit Company</t>
  </si>
  <si>
    <t>Town of Altavista</t>
  </si>
  <si>
    <t>Loudoun County</t>
  </si>
  <si>
    <t>NVTC - Arlington County</t>
  </si>
  <si>
    <t>NVTC - City of Alexandria</t>
  </si>
  <si>
    <t>NVTC - City of Fairfax</t>
  </si>
  <si>
    <t>NVTC - Fairfax County</t>
  </si>
  <si>
    <t>NVTC - VRE</t>
  </si>
  <si>
    <t>PRTC</t>
  </si>
  <si>
    <t>City of Petersburg</t>
  </si>
  <si>
    <t>Greater Richmond Transit Company</t>
  </si>
  <si>
    <t>Blacksburg Transit</t>
  </si>
  <si>
    <t>City of Radford</t>
  </si>
  <si>
    <t>Greater Roanoke Transit Company</t>
  </si>
  <si>
    <t>Pulaski Area Transit</t>
  </si>
  <si>
    <t>Central Shenandoah PDC</t>
  </si>
  <si>
    <t>City of Harrisonburg Dept. of Public Transportation</t>
  </si>
  <si>
    <t>HDPT (Harrisonburg)</t>
  </si>
  <si>
    <t>City of Winchester</t>
  </si>
  <si>
    <t>Bay Aging</t>
  </si>
  <si>
    <t>Blackstone Area Bus</t>
  </si>
  <si>
    <t>JAUNT</t>
  </si>
  <si>
    <t>Lake Area</t>
  </si>
  <si>
    <t>RADAR</t>
  </si>
  <si>
    <t>VRT</t>
  </si>
  <si>
    <t>Large Urban</t>
  </si>
  <si>
    <t>Small Urban/Rural</t>
  </si>
  <si>
    <t>Statewide Total</t>
  </si>
  <si>
    <t>Northern Va</t>
  </si>
  <si>
    <t>Hampton</t>
  </si>
  <si>
    <t>Operating Assistance - For Re-Allocation Distribution 0=reached cap</t>
  </si>
  <si>
    <t>Difference from Allocation (Distributable Funds)</t>
  </si>
  <si>
    <t>Capped Operating Assistance</t>
  </si>
  <si>
    <t>State Operating Assistance as % of Operating Cost</t>
  </si>
  <si>
    <t>Agency Operating Cost</t>
  </si>
  <si>
    <t>Final Operating Allocation</t>
  </si>
  <si>
    <t>Index for Second Round Performance Re-Distribution</t>
  </si>
  <si>
    <t>Absolute Performance for Agencies that have not Reached Cap after Round 1</t>
  </si>
  <si>
    <t>Available for Round 2 Performance Redistribution</t>
  </si>
  <si>
    <t>Capped Operating Allocation with First Round Performance Distribution</t>
  </si>
  <si>
    <t>Cap for Performance Distribution</t>
  </si>
  <si>
    <t>Operating Allocation with First Round Performance Distribution (Uncapped)</t>
  </si>
  <si>
    <t>Index for First Round Performance Distribution</t>
  </si>
  <si>
    <t>Absolute Performance for Agencies that have not Reached Cap</t>
  </si>
  <si>
    <t>Absolute Performance Index Relative to State Average weighted by size weight</t>
  </si>
  <si>
    <t>Passengers/ Cost Index 2024</t>
  </si>
  <si>
    <t>Passengers/ RevMile Index 2024</t>
  </si>
  <si>
    <t>Passengers/ RevHour Index 2024</t>
  </si>
  <si>
    <t>Agency Initial Operating Allocation</t>
  </si>
  <si>
    <t>PM5 - Weighted * Available Assistance</t>
  </si>
  <si>
    <t>PM4 - Weighted * Available Assistance</t>
  </si>
  <si>
    <t>PM3 - Weighted * Available Assistance</t>
  </si>
  <si>
    <t>PM2 - Weighted * Available Assistance</t>
  </si>
  <si>
    <t>PM1 - Weighted * Available Assistance</t>
  </si>
  <si>
    <t>PM5 - Weighted</t>
  </si>
  <si>
    <t>PM4 - Weighted</t>
  </si>
  <si>
    <t>PM3 - Weighted</t>
  </si>
  <si>
    <t>PM2 - Weighted</t>
  </si>
  <si>
    <t>PM1 - Weighted</t>
  </si>
  <si>
    <t xml:space="preserve">Normalized Size-Performance Weight 
</t>
  </si>
  <si>
    <r>
      <t>Size-Performance Weight</t>
    </r>
    <r>
      <rPr>
        <i/>
        <sz val="10"/>
        <color theme="0"/>
        <rFont val="Segoe UI"/>
        <family val="2"/>
      </rPr>
      <t xml:space="preserve"> 
(a) * (1/g)</t>
    </r>
  </si>
  <si>
    <r>
      <t xml:space="preserve">Trend Factor Relative to Statewide Trend </t>
    </r>
    <r>
      <rPr>
        <i/>
        <sz val="10"/>
        <color theme="0"/>
        <rFont val="Segoe UI"/>
        <family val="2"/>
      </rPr>
      <t>(g)</t>
    </r>
    <r>
      <rPr>
        <sz val="10"/>
        <color theme="0"/>
        <rFont val="Segoe UI"/>
        <family val="2"/>
      </rPr>
      <t xml:space="preserve">
</t>
    </r>
  </si>
  <si>
    <r>
      <t>Size-Performance Weight</t>
    </r>
    <r>
      <rPr>
        <i/>
        <sz val="10"/>
        <color theme="0"/>
        <rFont val="Segoe UI"/>
        <family val="2"/>
      </rPr>
      <t xml:space="preserve"> 
(a) * (1/f)</t>
    </r>
  </si>
  <si>
    <r>
      <t xml:space="preserve">Trend Factor Relative to Statewide Trend </t>
    </r>
    <r>
      <rPr>
        <i/>
        <sz val="10"/>
        <color theme="0"/>
        <rFont val="Segoe UI"/>
        <family val="2"/>
      </rPr>
      <t>(f)</t>
    </r>
    <r>
      <rPr>
        <sz val="10"/>
        <color theme="0"/>
        <rFont val="Segoe UI"/>
        <family val="2"/>
      </rPr>
      <t xml:space="preserve">
</t>
    </r>
  </si>
  <si>
    <r>
      <t>Size-Performance Weight</t>
    </r>
    <r>
      <rPr>
        <i/>
        <sz val="10"/>
        <color theme="0"/>
        <rFont val="Segoe UI"/>
        <family val="2"/>
      </rPr>
      <t xml:space="preserve"> 
(a) * (1/e)</t>
    </r>
  </si>
  <si>
    <r>
      <t xml:space="preserve">Trend Factor Relative to Statewide Trend </t>
    </r>
    <r>
      <rPr>
        <i/>
        <sz val="10"/>
        <color theme="0"/>
        <rFont val="Segoe UI"/>
        <family val="2"/>
      </rPr>
      <t>(e)</t>
    </r>
    <r>
      <rPr>
        <sz val="10"/>
        <color theme="0"/>
        <rFont val="Segoe UI"/>
        <family val="2"/>
      </rPr>
      <t xml:space="preserve">
</t>
    </r>
  </si>
  <si>
    <r>
      <t xml:space="preserve">Size-Performance Weight 
 </t>
    </r>
    <r>
      <rPr>
        <i/>
        <sz val="10"/>
        <color theme="0"/>
        <rFont val="Segoe UI"/>
        <family val="2"/>
      </rPr>
      <t>(a) * (c)</t>
    </r>
  </si>
  <si>
    <r>
      <t xml:space="preserve">Trend Factor Relative to Statewide Trend </t>
    </r>
    <r>
      <rPr>
        <i/>
        <sz val="10"/>
        <color theme="0"/>
        <rFont val="Segoe UI"/>
        <family val="2"/>
      </rPr>
      <t>(c)</t>
    </r>
    <r>
      <rPr>
        <sz val="10"/>
        <color theme="0"/>
        <rFont val="Segoe UI"/>
        <family val="2"/>
      </rPr>
      <t xml:space="preserve">
</t>
    </r>
  </si>
  <si>
    <r>
      <t xml:space="preserve">Size-Performance Weight
</t>
    </r>
    <r>
      <rPr>
        <i/>
        <sz val="10"/>
        <color theme="0"/>
        <rFont val="Segoe UI"/>
        <family val="2"/>
      </rPr>
      <t>(a)  * (b)</t>
    </r>
  </si>
  <si>
    <r>
      <t>Trend Factor Relative to Statewide Trend</t>
    </r>
    <r>
      <rPr>
        <i/>
        <sz val="10"/>
        <color theme="0"/>
        <rFont val="Segoe UI"/>
        <family val="2"/>
      </rPr>
      <t xml:space="preserve"> (b)</t>
    </r>
  </si>
  <si>
    <r>
      <t xml:space="preserve">Sizing Metrics Hybrid Weight Normalized
</t>
    </r>
    <r>
      <rPr>
        <i/>
        <sz val="10"/>
        <color theme="0"/>
        <rFont val="Segoe UI"/>
        <family val="2"/>
      </rPr>
      <t xml:space="preserve"> (a) </t>
    </r>
  </si>
  <si>
    <t>Sizing Metrics Hybrid Weight</t>
  </si>
  <si>
    <t>2024 Revenue Miles (Sizing)</t>
  </si>
  <si>
    <t>2024 Revenue Hours (Sizing)</t>
  </si>
  <si>
    <t>2024 Ridership (Sizing)</t>
  </si>
  <si>
    <t>2024 Operating Cost (Sizing)</t>
  </si>
  <si>
    <t>Re-Allocation of Capped Operating Assistance Round 1</t>
  </si>
  <si>
    <t>Operating Assistance 30% Cap Calculations Round 1</t>
  </si>
  <si>
    <t>Cost per Passenger</t>
  </si>
  <si>
    <t>Cost Per Revenue Mile</t>
  </si>
  <si>
    <t>Cost Per Revenue Hour</t>
  </si>
  <si>
    <t>Passengers per Revenue Mile</t>
  </si>
  <si>
    <t>Passengers per Revenue Hour</t>
  </si>
  <si>
    <t>fixed formula</t>
  </si>
  <si>
    <t>Performance Metric 5</t>
  </si>
  <si>
    <t>Performance Metric 4</t>
  </si>
  <si>
    <t>Performance Metric 3</t>
  </si>
  <si>
    <t>Performance Metric 2</t>
  </si>
  <si>
    <t>Performance Metric 1</t>
  </si>
  <si>
    <t>Size-Weight (Hybrid)</t>
  </si>
  <si>
    <t>Operating Set-Aside</t>
  </si>
  <si>
    <t>Set-aside</t>
  </si>
  <si>
    <t>FY2021, 2022, 2023, 2024 Agency Data used for Size-Weight Hybrid</t>
  </si>
  <si>
    <t>*</t>
  </si>
  <si>
    <t>2024 Agency Data used for Size-Weight Hybrid</t>
  </si>
  <si>
    <t>Passengers/RevMile</t>
  </si>
  <si>
    <t>Passengers/RevHour</t>
  </si>
  <si>
    <t>link to revenue page, operating funds available</t>
  </si>
  <si>
    <t>Funding to Re-Allocate</t>
  </si>
  <si>
    <t>Cap For Performance Redistribution</t>
  </si>
  <si>
    <t xml:space="preserve">Funding to Re-Allocate </t>
  </si>
  <si>
    <t>Operating Assistance Cap:</t>
  </si>
  <si>
    <t>Available Assistance:</t>
  </si>
  <si>
    <t>Performance Metric Weight:</t>
  </si>
  <si>
    <t>Sizing Weights:</t>
  </si>
  <si>
    <t>30% Cap Redistribution Round 1</t>
  </si>
  <si>
    <t xml:space="preserve"> Initial Formula Allocation</t>
  </si>
  <si>
    <t>Performance Weights</t>
  </si>
  <si>
    <t>Performance Metric Trends                                                                                                         Performance Metric Trends                                                                                                           Performance Metric Trends                                                                                                         Performance Metric Trends                                                                                                         Performance Metric Trends</t>
  </si>
  <si>
    <t>Sizing Metrics</t>
  </si>
  <si>
    <t>FY25 MERIT - Operating Assistance Allocation Calculations (Operating Formula)</t>
  </si>
  <si>
    <t>FY 2021</t>
  </si>
  <si>
    <t>FY 2022</t>
  </si>
  <si>
    <t>FY 2023</t>
  </si>
  <si>
    <t>FY 2024</t>
  </si>
  <si>
    <t>Agency</t>
  </si>
  <si>
    <t>Total</t>
  </si>
  <si>
    <t>Op Cost Sizing</t>
  </si>
  <si>
    <t>Operating Cost Performance</t>
  </si>
  <si>
    <t xml:space="preserve">Jaunt Rural only for FY 2026 application.  Urban moved to CAT.  </t>
  </si>
  <si>
    <t xml:space="preserve">Commuter Rail Pool: </t>
  </si>
  <si>
    <t>DO NOT USE THESE COLUMNS IF FORMULA DOLLARS EXCEED 30% OF TOTAL OPERATING BUDGET</t>
  </si>
  <si>
    <t>2023 Agency Data used for Size-Weight Hybrid</t>
  </si>
  <si>
    <t>Passenger/Cost</t>
  </si>
  <si>
    <t>Size-Weight - Percentages</t>
  </si>
  <si>
    <t>Operating Assistance Cap</t>
  </si>
  <si>
    <t>Re-Allocation of Capped Operating Assistance</t>
  </si>
  <si>
    <t>Recipient</t>
  </si>
  <si>
    <t>2023 Operating Cost (Sizing)</t>
  </si>
  <si>
    <t>2023 Ridership (Sizing)</t>
  </si>
  <si>
    <t>2023 Revenue Hours (Sizing)</t>
  </si>
  <si>
    <t>2023 Revenue Miles (Sizing)</t>
  </si>
  <si>
    <t>Agency Operating Allocation</t>
  </si>
  <si>
    <t xml:space="preserve"> Performance Index Relative to State Average</t>
  </si>
  <si>
    <t>Absolute Performance* size-weight</t>
  </si>
  <si>
    <t>Absolute Performance*size-weight for those who have not hit cap</t>
  </si>
  <si>
    <t>Performance Index</t>
  </si>
  <si>
    <t>-</t>
  </si>
  <si>
    <t>Linked to Allocation Calculations page column C</t>
  </si>
  <si>
    <t>Linked to Allocation Calculations Page, Metrics 4 and 5</t>
  </si>
  <si>
    <t>Small Urban</t>
  </si>
  <si>
    <t>Shorthand for Graphics</t>
  </si>
  <si>
    <t>2022 Agency Data used for Size-Weight Hybrid</t>
  </si>
  <si>
    <t>2022 Operating Cost (Sizing)</t>
  </si>
  <si>
    <t>2022 Ridership (Sizing)</t>
  </si>
  <si>
    <t>Revenue Hours (Sizing)</t>
  </si>
  <si>
    <t>Revenue Miles (Sizing)</t>
  </si>
  <si>
    <t>AASC/ 4 County</t>
  </si>
  <si>
    <t>District Three</t>
  </si>
  <si>
    <t>MEOC</t>
  </si>
  <si>
    <t xml:space="preserve">Bluefield-Graham </t>
  </si>
  <si>
    <t>CAT</t>
  </si>
  <si>
    <t>FXBGO!</t>
  </si>
  <si>
    <t>Greensville Co.</t>
  </si>
  <si>
    <t>HRT</t>
  </si>
  <si>
    <t>PONY Express</t>
  </si>
  <si>
    <t>WATA</t>
  </si>
  <si>
    <t>DTS</t>
  </si>
  <si>
    <t>GLTC (Lynchburg)</t>
  </si>
  <si>
    <t>Loudoun Co.</t>
  </si>
  <si>
    <t>Arlington Co. - ART</t>
  </si>
  <si>
    <t>Alexandria - DASH</t>
  </si>
  <si>
    <t>City of Fairfax - CUE</t>
  </si>
  <si>
    <t>Fairfax Connector</t>
  </si>
  <si>
    <t>PAT (Petersburg)</t>
  </si>
  <si>
    <t>GRTC (Richmond)</t>
  </si>
  <si>
    <t>GRTC (Valley Metro)</t>
  </si>
  <si>
    <t>CSPDC</t>
  </si>
  <si>
    <t>VRE</t>
  </si>
  <si>
    <t>Agency Type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</si>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</sst>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_(* #,##0.0000_);_(* \(#,##0.0000\);_(* &quot;-&quot;????_);_(@_)"/>
    <numFmt numFmtId="165" formatCode="_(* #,##0_);_(* \(#,##0\);_(* &quot;-&quot;??_);_(@_)"/>
    <numFmt numFmtId="166" formatCode="_(&quot;$&quot;* #,##0_);_(&quot;$&quot;* \(#,##0\);_(&quot;$&quot;* &quot;-&quot;??_);_(@_)"/>
    <numFmt numFmtId="168" formatCode="_(* #,##0.00000_);_(* \(#,##0.00000\);_(* &quot;-&quot;??_);_(@_)"/>
    <numFmt numFmtId="169" formatCode="_(* #,##0.000_);_(* \(#,##0.000\);_(* &quot;-&quot;??_);_(@_)"/>
    <numFmt numFmtId="170" formatCode="_(* #,##0.0000_);_(* \(#,##0.0000\);_(* &quot;-&quot;??_);_(@_)"/>
    <numFmt numFmtId="171" formatCode="0.000%"/>
    <numFmt numFmtId="172" formatCode="0.0"/>
    <numFmt numFmtId="173" formatCode="0.0000"/>
    <numFmt numFmtId="174" formatCode="#,##0_);\(#,##0\);&quot;-  &quot;;&quot; &quot;@"/>
    <numFmt numFmtId="175" formatCode="_(* #,##0.000000_);_(* \(#,##0.000000\);_(* &quot;-&quot;??_);_(@_)"/>
  </numFmts>
  <fonts count="46">
    <font>
      <sz val="10"/>
      <name val="Arial"/>
      <family val="2"/>
    </font>
    <font>
      <sz val="11"/>
      <color theme="1"/>
      <name val="Aptos Narrow"/>
      <family val="2"/>
      <scheme val="minor"/>
    </font>
    <font>
      <sz val="10"/>
      <name val="Arial"/>
      <family val="2"/>
    </font>
    <font>
      <b/>
      <sz val="10"/>
      <color theme="0"/>
      <name val="Arial"/>
      <family val="2"/>
    </font>
    <font>
      <sz val="10"/>
      <color theme="0"/>
      <name val="Arial"/>
      <family val="2"/>
    </font>
    <font>
      <b/>
      <i/>
      <sz val="10"/>
      <color theme="0"/>
      <name val="Arial"/>
      <family val="2"/>
    </font>
    <font>
      <b/>
      <sz val="10"/>
      <color rgb="FFFF0000"/>
      <name val="Arial"/>
      <family val="2"/>
    </font>
    <font>
      <i/>
      <sz val="10"/>
      <color theme="0"/>
      <name val="Arial"/>
      <family val="2"/>
    </font>
    <font>
      <b/>
      <sz val="9"/>
      <name val="Arial"/>
      <family val="2"/>
    </font>
    <font>
      <sz val="9"/>
      <color theme="0"/>
      <name val="Aptos"/>
      <family val="2"/>
    </font>
    <font>
      <sz val="9"/>
      <name val="Arial"/>
      <family val="2"/>
    </font>
    <font>
      <sz val="9"/>
      <name val="Aptos"/>
      <family val="2"/>
    </font>
    <font>
      <b/>
      <sz val="10"/>
      <color theme="0"/>
      <name val="Segoe UI"/>
      <family val="2"/>
    </font>
    <font>
      <b/>
      <sz val="10"/>
      <name val="Segoe UI"/>
      <family val="2"/>
    </font>
    <font>
      <b/>
      <sz val="10"/>
      <name val="Arial"/>
      <family val="2"/>
    </font>
    <font>
      <sz val="10"/>
      <name val="Segoe UI"/>
      <family val="2"/>
    </font>
    <font>
      <sz val="11"/>
      <color indexed="8"/>
      <name val="Calibri"/>
      <family val="2"/>
    </font>
    <font>
      <sz val="10"/>
      <color theme="1"/>
      <name val="Segoe UI"/>
      <family val="2"/>
    </font>
    <font>
      <sz val="10"/>
      <color theme="1" tint="0.499984740745262"/>
      <name val="Segoe UI"/>
      <family val="2"/>
    </font>
    <font>
      <sz val="10"/>
      <color indexed="12"/>
      <name val="Segoe UI"/>
      <family val="2"/>
    </font>
    <font>
      <sz val="12"/>
      <color indexed="8"/>
      <name val="Arial MT"/>
    </font>
    <font>
      <b/>
      <sz val="10"/>
      <color theme="1" tint="0.249977111117893"/>
      <name val="Segoe UI"/>
      <family val="2"/>
    </font>
    <font>
      <sz val="10"/>
      <color theme="1" tint="0.249977111117893"/>
      <name val="Segoe UI"/>
      <family val="2"/>
    </font>
    <font>
      <b/>
      <sz val="10"/>
      <color indexed="12"/>
      <name val="Segoe UI"/>
      <family val="2"/>
    </font>
    <font>
      <b/>
      <sz val="10"/>
      <color theme="1"/>
      <name val="Segoe UI"/>
      <family val="2"/>
    </font>
    <font>
      <sz val="10"/>
      <color theme="0"/>
      <name val="Segoe UI"/>
      <family val="2"/>
    </font>
    <font>
      <i/>
      <sz val="10"/>
      <color theme="0"/>
      <name val="Segoe UI"/>
      <family val="2"/>
    </font>
    <font>
      <b/>
      <sz val="10"/>
      <color theme="5"/>
      <name val="Segoe UI"/>
      <family val="2"/>
    </font>
    <font>
      <sz val="10"/>
      <color theme="0" tint="-0.34998626667073579"/>
      <name val="Segoe UI"/>
      <family val="2"/>
    </font>
    <font>
      <b/>
      <i/>
      <sz val="10"/>
      <color theme="1"/>
      <name val="Segoe UI"/>
      <family val="2"/>
    </font>
    <font>
      <b/>
      <sz val="10"/>
      <color theme="1" tint="0.499984740745262"/>
      <name val="Segoe UI"/>
      <family val="2"/>
    </font>
    <font>
      <b/>
      <sz val="10"/>
      <color rgb="FFC00000"/>
      <name val="Segoe UI"/>
      <family val="2"/>
    </font>
    <font>
      <sz val="11"/>
      <color theme="1"/>
      <name val="Segoe UI"/>
      <family val="2"/>
    </font>
    <font>
      <b/>
      <sz val="11"/>
      <color theme="1"/>
      <name val="Segoe UI"/>
      <family val="2"/>
    </font>
    <font>
      <sz val="11"/>
      <color indexed="12"/>
      <name val="Segoe UI"/>
      <family val="2"/>
    </font>
    <font>
      <sz val="11"/>
      <name val="Segoe UI"/>
      <family val="2"/>
    </font>
    <font>
      <b/>
      <sz val="11"/>
      <name val="Segoe UI"/>
      <family val="2"/>
    </font>
    <font>
      <b/>
      <sz val="14"/>
      <name val="Segoe UI"/>
      <family val="2"/>
    </font>
    <font>
      <b/>
      <sz val="9"/>
      <color indexed="81"/>
      <name val="Tahoma"/>
      <family val="2"/>
    </font>
    <font>
      <sz val="9"/>
      <color indexed="81"/>
      <name val="Tahoma"/>
      <family val="2"/>
    </font>
    <font>
      <sz val="10"/>
      <color theme="0" tint="-0.499984740745262"/>
      <name val="Segoe UI"/>
      <family val="2"/>
    </font>
    <font>
      <sz val="11"/>
      <color rgb="FF000000"/>
      <name val="Calibri"/>
      <family val="2"/>
    </font>
    <font>
      <sz val="11"/>
      <name val="Aptos Narrow"/>
      <family val="2"/>
      <scheme val="minor"/>
    </font>
    <font>
      <sz val="11"/>
      <name val="Calibri"/>
      <family val="2"/>
    </font>
    <font>
      <sz val="10"/>
      <color rgb="FFC00000"/>
      <name val="Segoe UI"/>
      <family val="2"/>
    </font>
    <font>
      <sz val="9"/>
      <name val="Segoe UI"/>
      <family val="2"/>
    </font>
  </fonts>
  <fills count="29">
    <fill>
      <patternFill patternType="none"/>
    </fill>
    <fill>
      <patternFill patternType="gray125"/>
    </fill>
    <fill>
      <patternFill patternType="solid">
        <fgColor theme="1"/>
        <bgColor indexed="64"/>
      </patternFill>
    </fill>
    <fill>
      <patternFill patternType="solid">
        <fgColor theme="2" tint="-0.749992370372631"/>
        <bgColor indexed="64"/>
      </patternFill>
    </fill>
    <fill>
      <patternFill patternType="solid">
        <fgColor theme="5" tint="-0.49998474074526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499984740745262"/>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rgb="FFFFFFCC"/>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A80000"/>
        <bgColor indexed="64"/>
      </patternFill>
    </fill>
    <fill>
      <patternFill patternType="solid">
        <fgColor rgb="FFFDE9D9"/>
        <bgColor indexed="64"/>
      </patternFill>
    </fill>
    <fill>
      <patternFill patternType="solid">
        <fgColor rgb="FF5D2884"/>
        <bgColor indexed="64"/>
      </patternFill>
    </fill>
    <fill>
      <patternFill patternType="solid">
        <fgColor indexed="9"/>
        <bgColor indexed="64"/>
      </patternFill>
    </fill>
    <fill>
      <patternFill patternType="solid">
        <fgColor theme="1" tint="0.499984740745262"/>
        <bgColor indexed="64"/>
      </patternFill>
    </fill>
    <fill>
      <patternFill patternType="solid">
        <fgColor theme="6" tint="0.59999389629810485"/>
        <bgColor indexed="64"/>
      </patternFill>
    </fill>
  </fills>
  <borders count="84">
    <border>
      <left/>
      <right/>
      <top/>
      <bottom/>
      <diagonal/>
    </border>
    <border>
      <left style="medium">
        <color indexed="64"/>
      </left>
      <right/>
      <top style="medium">
        <color indexed="64"/>
      </top>
      <bottom style="thin">
        <color indexed="64"/>
      </bottom>
      <diagonal/>
    </border>
    <border>
      <left/>
      <right style="thin">
        <color theme="0"/>
      </right>
      <top style="medium">
        <color indexed="64"/>
      </top>
      <bottom style="thin">
        <color auto="1"/>
      </bottom>
      <diagonal/>
    </border>
    <border>
      <left style="thin">
        <color theme="0"/>
      </left>
      <right style="thin">
        <color theme="0"/>
      </right>
      <top/>
      <bottom style="thin">
        <color theme="0"/>
      </bottom>
      <diagonal/>
    </border>
    <border>
      <left style="thin">
        <color theme="0"/>
      </left>
      <right style="medium">
        <color auto="1"/>
      </right>
      <top style="medium">
        <color auto="1"/>
      </top>
      <bottom style="thin">
        <color theme="0"/>
      </bottom>
      <diagonal/>
    </border>
    <border>
      <left/>
      <right style="thin">
        <color theme="0"/>
      </right>
      <top/>
      <bottom/>
      <diagonal/>
    </border>
    <border>
      <left style="thin">
        <color theme="0"/>
      </left>
      <right style="thin">
        <color theme="0"/>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medium">
        <color auto="1"/>
      </right>
      <top style="thin">
        <color indexed="64"/>
      </top>
      <bottom style="thin">
        <color indexed="64"/>
      </bottom>
      <diagonal/>
    </border>
    <border>
      <left style="medium">
        <color indexed="64"/>
      </left>
      <right style="thin">
        <color auto="1"/>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auto="1"/>
      </left>
      <right/>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top style="thin">
        <color indexed="64"/>
      </top>
      <bottom style="thin">
        <color indexed="64"/>
      </bottom>
      <diagonal/>
    </border>
    <border>
      <left style="medium">
        <color indexed="64"/>
      </left>
      <right style="thin">
        <color indexed="64"/>
      </right>
      <top style="thin">
        <color auto="1"/>
      </top>
      <bottom style="thin">
        <color auto="1"/>
      </bottom>
      <diagonal/>
    </border>
    <border>
      <left style="medium">
        <color auto="1"/>
      </left>
      <right/>
      <top style="thin">
        <color indexed="64"/>
      </top>
      <bottom style="medium">
        <color auto="1"/>
      </bottom>
      <diagonal/>
    </border>
    <border>
      <left/>
      <right style="thin">
        <color indexed="64"/>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auto="1"/>
      </right>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auto="1"/>
      </right>
      <top style="medium">
        <color auto="1"/>
      </top>
      <bottom/>
      <diagonal/>
    </border>
    <border>
      <left/>
      <right style="medium">
        <color theme="0"/>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medium">
        <color auto="1"/>
      </bottom>
      <diagonal/>
    </border>
    <border>
      <left style="hair">
        <color auto="1"/>
      </left>
      <right style="hair">
        <color auto="1"/>
      </right>
      <top/>
      <bottom style="medium">
        <color auto="1"/>
      </bottom>
      <diagonal/>
    </border>
    <border>
      <left style="hair">
        <color auto="1"/>
      </left>
      <right/>
      <top/>
      <bottom style="medium">
        <color auto="1"/>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medium">
        <color auto="1"/>
      </left>
      <right style="thin">
        <color auto="1"/>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6">
    <xf numFmtId="0" fontId="0" fillId="0" borderId="0"/>
    <xf numFmtId="9" fontId="2" fillId="0" borderId="0" applyFont="0" applyFill="0" applyBorder="0" applyAlignment="0" applyProtection="0"/>
    <xf numFmtId="0" fontId="1"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43" fontId="16"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174" fontId="14" fillId="0" borderId="0" applyFont="0" applyFill="0" applyBorder="0" applyAlignment="0" applyProtection="0"/>
    <xf numFmtId="0" fontId="1" fillId="0" borderId="0"/>
    <xf numFmtId="43" fontId="1" fillId="0" borderId="0" applyFont="0" applyFill="0" applyBorder="0" applyAlignment="0" applyProtection="0"/>
  </cellStyleXfs>
  <cellXfs count="573">
    <xf numFmtId="0" fontId="0" fillId="0" borderId="0" xfId="0"/>
    <xf numFmtId="0" fontId="3" fillId="2" borderId="1" xfId="0" applyFont="1" applyFill="1" applyBorder="1" applyAlignment="1">
      <alignment vertical="top"/>
    </xf>
    <xf numFmtId="0" fontId="4" fillId="2" borderId="2" xfId="0" applyFont="1" applyFill="1" applyBorder="1" applyAlignment="1">
      <alignment vertical="top"/>
    </xf>
    <xf numFmtId="0" fontId="3" fillId="2" borderId="2" xfId="0" applyFont="1" applyFill="1" applyBorder="1" applyAlignment="1">
      <alignment vertical="top"/>
    </xf>
    <xf numFmtId="0" fontId="5" fillId="2" borderId="3" xfId="0" applyFont="1" applyFill="1" applyBorder="1" applyAlignment="1">
      <alignment horizontal="right"/>
    </xf>
    <xf numFmtId="0" fontId="3" fillId="2" borderId="4" xfId="0" applyFont="1" applyFill="1" applyBorder="1" applyAlignment="1">
      <alignment vertical="top"/>
    </xf>
    <xf numFmtId="0" fontId="4" fillId="2" borderId="5" xfId="0" applyFont="1" applyFill="1" applyBorder="1" applyAlignment="1">
      <alignment vertical="top"/>
    </xf>
    <xf numFmtId="0" fontId="3" fillId="2" borderId="5" xfId="0" applyFont="1" applyFill="1" applyBorder="1" applyAlignment="1">
      <alignment vertical="top"/>
    </xf>
    <xf numFmtId="0" fontId="5" fillId="2" borderId="6" xfId="0" applyFont="1" applyFill="1" applyBorder="1" applyAlignment="1">
      <alignment horizontal="right" vertical="top"/>
    </xf>
    <xf numFmtId="0" fontId="6" fillId="2" borderId="7" xfId="0" applyFont="1" applyFill="1" applyBorder="1"/>
    <xf numFmtId="0" fontId="0" fillId="2" borderId="5" xfId="0" applyFill="1" applyBorder="1"/>
    <xf numFmtId="0" fontId="7" fillId="2" borderId="6" xfId="0" applyFont="1" applyFill="1" applyBorder="1" applyAlignment="1">
      <alignment horizontal="right"/>
    </xf>
    <xf numFmtId="0" fontId="7" fillId="2" borderId="7" xfId="0" applyFont="1" applyFill="1" applyBorder="1"/>
    <xf numFmtId="0" fontId="0" fillId="2" borderId="9" xfId="0" applyFill="1" applyBorder="1"/>
    <xf numFmtId="0" fontId="7" fillId="2" borderId="10" xfId="0" applyFont="1" applyFill="1" applyBorder="1" applyAlignment="1">
      <alignment horizontal="right"/>
    </xf>
    <xf numFmtId="0" fontId="7" fillId="2" borderId="11" xfId="0" applyFont="1" applyFill="1" applyBorder="1"/>
    <xf numFmtId="0" fontId="0" fillId="2" borderId="12" xfId="0" applyFill="1" applyBorder="1"/>
    <xf numFmtId="0" fontId="8" fillId="0" borderId="13" xfId="0" applyFont="1" applyBorder="1"/>
    <xf numFmtId="0" fontId="9" fillId="3" borderId="14" xfId="0" applyFont="1" applyFill="1" applyBorder="1" applyAlignment="1">
      <alignment horizontal="left" vertical="center" wrapText="1" readingOrder="1"/>
    </xf>
    <xf numFmtId="9" fontId="10" fillId="0" borderId="15" xfId="1" applyFont="1" applyBorder="1"/>
    <xf numFmtId="0" fontId="4" fillId="4" borderId="0" xfId="0" applyFont="1" applyFill="1"/>
    <xf numFmtId="9" fontId="10" fillId="0" borderId="16" xfId="1" applyFont="1" applyBorder="1"/>
    <xf numFmtId="0" fontId="10" fillId="0" borderId="13" xfId="0" applyFont="1" applyBorder="1"/>
    <xf numFmtId="0" fontId="11" fillId="5" borderId="17" xfId="0" applyFont="1" applyFill="1" applyBorder="1" applyAlignment="1">
      <alignment horizontal="left" vertical="center" wrapText="1" readingOrder="1"/>
    </xf>
    <xf numFmtId="9" fontId="10" fillId="0" borderId="18" xfId="1" applyFont="1" applyBorder="1"/>
    <xf numFmtId="9" fontId="10" fillId="0" borderId="19" xfId="1" applyFont="1" applyBorder="1"/>
    <xf numFmtId="0" fontId="11" fillId="6" borderId="17" xfId="0" applyFont="1" applyFill="1" applyBorder="1" applyAlignment="1">
      <alignment horizontal="left" vertical="center" wrapText="1" readingOrder="1"/>
    </xf>
    <xf numFmtId="0" fontId="10" fillId="0" borderId="20" xfId="0" applyFont="1" applyBorder="1"/>
    <xf numFmtId="0" fontId="11" fillId="7" borderId="21" xfId="0" applyFont="1" applyFill="1" applyBorder="1" applyAlignment="1">
      <alignment horizontal="left" vertical="center" wrapText="1" readingOrder="1"/>
    </xf>
    <xf numFmtId="9" fontId="10" fillId="0" borderId="22" xfId="1" applyFont="1" applyBorder="1"/>
    <xf numFmtId="9" fontId="10" fillId="0" borderId="23" xfId="1" applyFont="1" applyBorder="1"/>
    <xf numFmtId="0" fontId="8" fillId="0" borderId="24" xfId="0" applyFont="1" applyBorder="1"/>
    <xf numFmtId="0" fontId="11" fillId="0" borderId="25" xfId="0" applyFont="1" applyBorder="1" applyAlignment="1">
      <alignment horizontal="left" vertical="center" wrapText="1" readingOrder="1"/>
    </xf>
    <xf numFmtId="9" fontId="10" fillId="0" borderId="26" xfId="0" applyNumberFormat="1" applyFont="1" applyBorder="1"/>
    <xf numFmtId="9" fontId="10" fillId="0" borderId="27" xfId="1" applyFont="1" applyBorder="1"/>
    <xf numFmtId="0" fontId="11" fillId="0" borderId="17" xfId="0" applyFont="1" applyBorder="1" applyAlignment="1">
      <alignment horizontal="left" vertical="center" wrapText="1" readingOrder="1"/>
    </xf>
    <xf numFmtId="9" fontId="10" fillId="0" borderId="18" xfId="0" applyNumberFormat="1" applyFont="1" applyBorder="1"/>
    <xf numFmtId="0" fontId="11" fillId="0" borderId="21" xfId="0" applyFont="1" applyBorder="1" applyAlignment="1">
      <alignment horizontal="left" vertical="center" wrapText="1" readingOrder="1"/>
    </xf>
    <xf numFmtId="9" fontId="10" fillId="0" borderId="22" xfId="0" applyNumberFormat="1" applyFont="1" applyBorder="1"/>
    <xf numFmtId="0" fontId="8" fillId="0" borderId="24" xfId="0" applyFont="1" applyBorder="1" applyAlignment="1">
      <alignment wrapText="1"/>
    </xf>
    <xf numFmtId="0" fontId="10" fillId="0" borderId="28" xfId="0" applyFont="1" applyBorder="1"/>
    <xf numFmtId="0" fontId="10" fillId="0" borderId="29" xfId="0" applyFont="1" applyBorder="1" applyAlignment="1">
      <alignment horizontal="right" wrapText="1"/>
    </xf>
    <xf numFmtId="9" fontId="10" fillId="0" borderId="30" xfId="1" applyFont="1" applyBorder="1" applyAlignment="1">
      <alignment horizontal="right" vertical="top" wrapText="1"/>
    </xf>
    <xf numFmtId="0" fontId="8" fillId="0" borderId="31" xfId="0" applyFont="1" applyBorder="1"/>
    <xf numFmtId="0" fontId="10" fillId="0" borderId="26" xfId="0" applyFont="1" applyBorder="1" applyAlignment="1">
      <alignment horizontal="right"/>
    </xf>
    <xf numFmtId="9" fontId="10" fillId="0" borderId="27" xfId="1" applyFont="1" applyBorder="1" applyAlignment="1">
      <alignment horizontal="right"/>
    </xf>
    <xf numFmtId="0" fontId="8" fillId="0" borderId="32" xfId="0" applyFont="1" applyBorder="1"/>
    <xf numFmtId="0" fontId="10" fillId="0" borderId="18" xfId="0" applyFont="1" applyBorder="1" applyAlignment="1">
      <alignment horizontal="right"/>
    </xf>
    <xf numFmtId="9" fontId="10" fillId="0" borderId="19" xfId="1" applyFont="1" applyBorder="1" applyAlignment="1">
      <alignment horizontal="right"/>
    </xf>
    <xf numFmtId="9" fontId="10" fillId="0" borderId="18" xfId="0" applyNumberFormat="1" applyFont="1" applyBorder="1" applyAlignment="1">
      <alignment horizontal="right"/>
    </xf>
    <xf numFmtId="0" fontId="10" fillId="0" borderId="32" xfId="0" applyFont="1" applyBorder="1"/>
    <xf numFmtId="0" fontId="11" fillId="0" borderId="33" xfId="0" applyFont="1" applyBorder="1" applyAlignment="1">
      <alignment horizontal="left" vertical="center" wrapText="1" readingOrder="1"/>
    </xf>
    <xf numFmtId="9" fontId="10" fillId="0" borderId="34" xfId="1" applyFont="1" applyBorder="1" applyAlignment="1">
      <alignment horizontal="right"/>
    </xf>
    <xf numFmtId="9" fontId="10" fillId="0" borderId="30" xfId="1" applyFont="1" applyBorder="1" applyAlignment="1">
      <alignment horizontal="right"/>
    </xf>
    <xf numFmtId="0" fontId="10" fillId="0" borderId="35" xfId="0" applyFont="1" applyBorder="1"/>
    <xf numFmtId="9" fontId="10" fillId="0" borderId="36" xfId="1" applyFont="1" applyBorder="1" applyAlignment="1">
      <alignment horizontal="right"/>
    </xf>
    <xf numFmtId="0" fontId="12" fillId="2" borderId="37" xfId="2" applyFont="1" applyFill="1" applyBorder="1" applyAlignment="1">
      <alignment horizontal="center" vertical="center" wrapText="1"/>
    </xf>
    <xf numFmtId="164" fontId="12" fillId="2" borderId="38" xfId="3" applyNumberFormat="1" applyFont="1" applyFill="1" applyBorder="1" applyAlignment="1">
      <alignment horizontal="center" vertical="center"/>
    </xf>
    <xf numFmtId="0" fontId="3" fillId="2" borderId="0" xfId="0" applyFont="1" applyFill="1" applyAlignment="1">
      <alignment horizontal="right" wrapText="1"/>
    </xf>
    <xf numFmtId="0" fontId="3" fillId="2" borderId="0" xfId="0" applyFont="1" applyFill="1" applyAlignment="1">
      <alignment horizontal="right"/>
    </xf>
    <xf numFmtId="0" fontId="3" fillId="2" borderId="0" xfId="0" applyFont="1" applyFill="1" applyAlignment="1">
      <alignment horizontal="centerContinuous"/>
    </xf>
    <xf numFmtId="0" fontId="13" fillId="0" borderId="0" xfId="2" applyFont="1" applyAlignment="1">
      <alignment horizontal="left"/>
    </xf>
    <xf numFmtId="165" fontId="14" fillId="0" borderId="0" xfId="4" applyNumberFormat="1" applyFont="1" applyBorder="1"/>
    <xf numFmtId="166" fontId="0" fillId="0" borderId="0" xfId="0" applyNumberFormat="1"/>
    <xf numFmtId="0" fontId="15" fillId="0" borderId="1" xfId="2" applyFont="1" applyBorder="1" applyAlignment="1">
      <alignment horizontal="left"/>
    </xf>
    <xf numFmtId="165" fontId="2" fillId="0" borderId="39" xfId="4" applyNumberFormat="1" applyFont="1" applyFill="1" applyBorder="1"/>
    <xf numFmtId="166" fontId="0" fillId="0" borderId="26" xfId="5" applyNumberFormat="1" applyFont="1" applyBorder="1"/>
    <xf numFmtId="0" fontId="4" fillId="0" borderId="0" xfId="0" applyFont="1"/>
    <xf numFmtId="166" fontId="0" fillId="0" borderId="40" xfId="5" applyNumberFormat="1" applyFont="1" applyBorder="1"/>
    <xf numFmtId="165" fontId="2" fillId="0" borderId="25" xfId="4" applyNumberFormat="1" applyFont="1" applyBorder="1"/>
    <xf numFmtId="9" fontId="0" fillId="0" borderId="26" xfId="1" applyFont="1" applyBorder="1"/>
    <xf numFmtId="166" fontId="0" fillId="0" borderId="0" xfId="5" applyNumberFormat="1" applyFont="1"/>
    <xf numFmtId="0" fontId="15" fillId="0" borderId="41" xfId="2" applyFont="1" applyBorder="1" applyAlignment="1">
      <alignment horizontal="left"/>
    </xf>
    <xf numFmtId="165" fontId="2" fillId="0" borderId="11" xfId="4" applyNumberFormat="1" applyFont="1" applyFill="1" applyBorder="1"/>
    <xf numFmtId="166" fontId="0" fillId="0" borderId="18" xfId="5" applyNumberFormat="1" applyFont="1" applyBorder="1"/>
    <xf numFmtId="166" fontId="0" fillId="0" borderId="42" xfId="5" applyNumberFormat="1" applyFont="1" applyBorder="1"/>
    <xf numFmtId="165" fontId="2" fillId="0" borderId="17" xfId="4" applyNumberFormat="1" applyFont="1" applyBorder="1"/>
    <xf numFmtId="9" fontId="0" fillId="0" borderId="18" xfId="1" applyFont="1" applyBorder="1"/>
    <xf numFmtId="0" fontId="15" fillId="0" borderId="43" xfId="2" applyFont="1" applyBorder="1" applyAlignment="1">
      <alignment horizontal="left"/>
    </xf>
    <xf numFmtId="165" fontId="2" fillId="0" borderId="44" xfId="4" applyNumberFormat="1" applyFont="1" applyFill="1" applyBorder="1"/>
    <xf numFmtId="166" fontId="0" fillId="0" borderId="22" xfId="5" applyNumberFormat="1" applyFont="1" applyBorder="1"/>
    <xf numFmtId="166" fontId="0" fillId="0" borderId="45" xfId="5" applyNumberFormat="1" applyFont="1" applyBorder="1"/>
    <xf numFmtId="165" fontId="2" fillId="0" borderId="21" xfId="4" applyNumberFormat="1" applyFont="1" applyBorder="1"/>
    <xf numFmtId="9" fontId="0" fillId="0" borderId="22" xfId="1" applyFont="1" applyBorder="1"/>
    <xf numFmtId="166" fontId="14" fillId="0" borderId="0" xfId="5" applyNumberFormat="1" applyFont="1"/>
    <xf numFmtId="166" fontId="14" fillId="0" borderId="0" xfId="5" applyNumberFormat="1" applyFont="1" applyAlignment="1">
      <alignment horizontal="left" indent="1"/>
    </xf>
    <xf numFmtId="164" fontId="12" fillId="2" borderId="38" xfId="3" applyNumberFormat="1" applyFont="1" applyFill="1" applyBorder="1" applyAlignment="1">
      <alignment horizontal="left" vertical="center"/>
    </xf>
    <xf numFmtId="164" fontId="12" fillId="2" borderId="38" xfId="3" applyNumberFormat="1" applyFont="1" applyFill="1" applyBorder="1" applyAlignment="1">
      <alignment horizontal="left" vertical="center" wrapText="1"/>
    </xf>
    <xf numFmtId="0" fontId="0" fillId="0" borderId="0" xfId="0" applyAlignment="1">
      <alignment wrapText="1"/>
    </xf>
    <xf numFmtId="0" fontId="0" fillId="0" borderId="38" xfId="0" applyBorder="1"/>
    <xf numFmtId="0" fontId="0" fillId="0" borderId="17" xfId="0" applyBorder="1"/>
    <xf numFmtId="165" fontId="13" fillId="0" borderId="17" xfId="6" applyNumberFormat="1" applyFont="1" applyFill="1" applyBorder="1" applyAlignment="1">
      <alignment horizontal="left"/>
    </xf>
    <xf numFmtId="166" fontId="0" fillId="0" borderId="17" xfId="0" applyNumberFormat="1" applyBorder="1"/>
    <xf numFmtId="0" fontId="4" fillId="0" borderId="17" xfId="0" applyFont="1" applyBorder="1"/>
    <xf numFmtId="9" fontId="0" fillId="0" borderId="17" xfId="1" applyFont="1" applyBorder="1"/>
    <xf numFmtId="10" fontId="0" fillId="0" borderId="17" xfId="1" applyNumberFormat="1" applyFont="1" applyBorder="1"/>
    <xf numFmtId="0" fontId="0" fillId="0" borderId="46" xfId="0" applyBorder="1"/>
    <xf numFmtId="165" fontId="13" fillId="0" borderId="46" xfId="6" applyNumberFormat="1" applyFont="1" applyFill="1" applyBorder="1" applyAlignment="1">
      <alignment horizontal="left"/>
    </xf>
    <xf numFmtId="166" fontId="0" fillId="0" borderId="46" xfId="0" applyNumberFormat="1" applyBorder="1"/>
    <xf numFmtId="0" fontId="4" fillId="0" borderId="46" xfId="0" applyFont="1" applyBorder="1"/>
    <xf numFmtId="165" fontId="2" fillId="0" borderId="46" xfId="4" applyNumberFormat="1" applyFont="1" applyBorder="1"/>
    <xf numFmtId="9" fontId="0" fillId="0" borderId="46" xfId="1" applyFont="1" applyBorder="1"/>
    <xf numFmtId="0" fontId="0" fillId="0" borderId="14" xfId="0" applyBorder="1"/>
    <xf numFmtId="166" fontId="0" fillId="0" borderId="14" xfId="0" applyNumberFormat="1" applyBorder="1"/>
    <xf numFmtId="44" fontId="0" fillId="0" borderId="14" xfId="5" applyFont="1" applyBorder="1"/>
    <xf numFmtId="9" fontId="0" fillId="0" borderId="14" xfId="0" applyNumberFormat="1" applyBorder="1"/>
    <xf numFmtId="165" fontId="12" fillId="8" borderId="0" xfId="6" applyNumberFormat="1" applyFont="1" applyFill="1" applyBorder="1" applyAlignment="1">
      <alignment horizontal="left"/>
    </xf>
    <xf numFmtId="0" fontId="17" fillId="0" borderId="0" xfId="2" applyFont="1"/>
    <xf numFmtId="0" fontId="19" fillId="0" borderId="0" xfId="2" applyFont="1"/>
    <xf numFmtId="0" fontId="15" fillId="0" borderId="0" xfId="2" applyFont="1"/>
    <xf numFmtId="168" fontId="17" fillId="0" borderId="0" xfId="7" applyNumberFormat="1" applyFont="1"/>
    <xf numFmtId="0" fontId="17" fillId="0" borderId="0" xfId="2" applyFont="1" applyAlignment="1">
      <alignment horizontal="left"/>
    </xf>
    <xf numFmtId="165" fontId="13" fillId="0" borderId="0" xfId="8" applyNumberFormat="1" applyFont="1" applyFill="1" applyBorder="1"/>
    <xf numFmtId="10" fontId="19" fillId="0" borderId="0" xfId="1" applyNumberFormat="1" applyFont="1" applyFill="1" applyBorder="1"/>
    <xf numFmtId="8" fontId="17" fillId="0" borderId="0" xfId="2" applyNumberFormat="1" applyFont="1"/>
    <xf numFmtId="0" fontId="13" fillId="0" borderId="0" xfId="2" applyFont="1"/>
    <xf numFmtId="165" fontId="15" fillId="9" borderId="44" xfId="8" applyNumberFormat="1" applyFont="1" applyFill="1" applyBorder="1"/>
    <xf numFmtId="168" fontId="13" fillId="9" borderId="44" xfId="8" applyNumberFormat="1" applyFont="1" applyFill="1" applyBorder="1"/>
    <xf numFmtId="169" fontId="13" fillId="9" borderId="44" xfId="8" applyNumberFormat="1" applyFont="1" applyFill="1" applyBorder="1"/>
    <xf numFmtId="165" fontId="13" fillId="10" borderId="44" xfId="8" applyNumberFormat="1" applyFont="1" applyFill="1" applyBorder="1"/>
    <xf numFmtId="6" fontId="21" fillId="10" borderId="47" xfId="2" applyNumberFormat="1" applyFont="1" applyFill="1" applyBorder="1"/>
    <xf numFmtId="166" fontId="21" fillId="10" borderId="21" xfId="2" applyNumberFormat="1" applyFont="1" applyFill="1" applyBorder="1"/>
    <xf numFmtId="0" fontId="21" fillId="10" borderId="21" xfId="2" applyFont="1" applyFill="1" applyBorder="1"/>
    <xf numFmtId="6" fontId="23" fillId="10" borderId="44" xfId="2" applyNumberFormat="1" applyFont="1" applyFill="1" applyBorder="1"/>
    <xf numFmtId="6" fontId="21" fillId="10" borderId="47" xfId="10" applyNumberFormat="1" applyFont="1" applyFill="1" applyBorder="1"/>
    <xf numFmtId="6" fontId="21" fillId="10" borderId="21" xfId="10" applyNumberFormat="1" applyFont="1" applyFill="1" applyBorder="1"/>
    <xf numFmtId="6" fontId="21" fillId="10" borderId="44" xfId="10" applyNumberFormat="1" applyFont="1" applyFill="1" applyBorder="1"/>
    <xf numFmtId="0" fontId="21" fillId="0" borderId="0" xfId="2" applyFont="1"/>
    <xf numFmtId="170" fontId="21" fillId="10" borderId="47" xfId="2" applyNumberFormat="1" applyFont="1" applyFill="1" applyBorder="1"/>
    <xf numFmtId="170" fontId="21" fillId="10" borderId="21" xfId="2" applyNumberFormat="1" applyFont="1" applyFill="1" applyBorder="1"/>
    <xf numFmtId="170" fontId="21" fillId="10" borderId="44" xfId="2" applyNumberFormat="1" applyFont="1" applyFill="1" applyBorder="1"/>
    <xf numFmtId="170" fontId="21" fillId="10" borderId="47" xfId="8" applyNumberFormat="1" applyFont="1" applyFill="1" applyBorder="1"/>
    <xf numFmtId="170" fontId="21" fillId="10" borderId="21" xfId="8" applyNumberFormat="1" applyFont="1" applyFill="1" applyBorder="1"/>
    <xf numFmtId="8" fontId="21" fillId="10" borderId="21" xfId="2" applyNumberFormat="1" applyFont="1" applyFill="1" applyBorder="1"/>
    <xf numFmtId="8" fontId="21" fillId="10" borderId="21" xfId="8" applyNumberFormat="1" applyFont="1" applyFill="1" applyBorder="1"/>
    <xf numFmtId="8" fontId="21" fillId="10" borderId="45" xfId="8" applyNumberFormat="1" applyFont="1" applyFill="1" applyBorder="1"/>
    <xf numFmtId="170" fontId="21" fillId="10" borderId="22" xfId="8" applyNumberFormat="1" applyFont="1" applyFill="1" applyBorder="1"/>
    <xf numFmtId="2" fontId="21" fillId="10" borderId="21" xfId="2" applyNumberFormat="1" applyFont="1" applyFill="1" applyBorder="1"/>
    <xf numFmtId="43" fontId="21" fillId="10" borderId="21" xfId="8" applyFont="1" applyFill="1" applyBorder="1"/>
    <xf numFmtId="43" fontId="21" fillId="10" borderId="45" xfId="8" applyFont="1" applyFill="1" applyBorder="1"/>
    <xf numFmtId="43" fontId="21" fillId="10" borderId="44" xfId="8" applyFont="1" applyFill="1" applyBorder="1"/>
    <xf numFmtId="170" fontId="21" fillId="10" borderId="50" xfId="8" applyNumberFormat="1" applyFont="1" applyFill="1" applyBorder="1"/>
    <xf numFmtId="170" fontId="21" fillId="10" borderId="51" xfId="8" applyNumberFormat="1" applyFont="1" applyFill="1" applyBorder="1"/>
    <xf numFmtId="165" fontId="13" fillId="10" borderId="51" xfId="8" applyNumberFormat="1" applyFont="1" applyFill="1" applyBorder="1"/>
    <xf numFmtId="165" fontId="13" fillId="0" borderId="0" xfId="6" applyNumberFormat="1" applyFont="1" applyFill="1" applyBorder="1" applyAlignment="1">
      <alignment horizontal="left"/>
    </xf>
    <xf numFmtId="165" fontId="13" fillId="10" borderId="52" xfId="6" applyNumberFormat="1" applyFont="1" applyFill="1" applyBorder="1" applyAlignment="1">
      <alignment horizontal="left"/>
    </xf>
    <xf numFmtId="0" fontId="13" fillId="10" borderId="53" xfId="2" applyFont="1" applyFill="1" applyBorder="1" applyAlignment="1">
      <alignment horizontal="left"/>
    </xf>
    <xf numFmtId="166" fontId="17" fillId="0" borderId="0" xfId="2" applyNumberFormat="1" applyFont="1"/>
    <xf numFmtId="9" fontId="17" fillId="0" borderId="0" xfId="1" applyFont="1"/>
    <xf numFmtId="44" fontId="21" fillId="0" borderId="17" xfId="2" applyNumberFormat="1" applyFont="1" applyBorder="1"/>
    <xf numFmtId="2" fontId="17" fillId="0" borderId="0" xfId="2" applyNumberFormat="1" applyFont="1"/>
    <xf numFmtId="166" fontId="15" fillId="9" borderId="11" xfId="9" applyNumberFormat="1" applyFont="1" applyFill="1" applyBorder="1"/>
    <xf numFmtId="10" fontId="19" fillId="9" borderId="11" xfId="1" applyNumberFormat="1" applyFont="1" applyFill="1" applyBorder="1"/>
    <xf numFmtId="170" fontId="19" fillId="9" borderId="11" xfId="4" applyNumberFormat="1" applyFont="1" applyFill="1" applyBorder="1"/>
    <xf numFmtId="168" fontId="19" fillId="9" borderId="11" xfId="4" applyNumberFormat="1" applyFont="1" applyFill="1" applyBorder="1"/>
    <xf numFmtId="166" fontId="19" fillId="0" borderId="11" xfId="9" applyNumberFormat="1" applyFont="1" applyFill="1" applyBorder="1"/>
    <xf numFmtId="6" fontId="22" fillId="0" borderId="8" xfId="2" applyNumberFormat="1" applyFont="1" applyBorder="1"/>
    <xf numFmtId="166" fontId="21" fillId="0" borderId="17" xfId="2" applyNumberFormat="1" applyFont="1" applyBorder="1"/>
    <xf numFmtId="10" fontId="22" fillId="0" borderId="17" xfId="10" applyNumberFormat="1" applyFont="1" applyFill="1" applyBorder="1"/>
    <xf numFmtId="6" fontId="19" fillId="0" borderId="11" xfId="2" applyNumberFormat="1" applyFont="1" applyBorder="1"/>
    <xf numFmtId="6" fontId="21" fillId="0" borderId="8" xfId="2" applyNumberFormat="1" applyFont="1" applyBorder="1"/>
    <xf numFmtId="6" fontId="22" fillId="0" borderId="17" xfId="2" applyNumberFormat="1" applyFont="1" applyBorder="1"/>
    <xf numFmtId="6" fontId="22" fillId="0" borderId="11" xfId="2" applyNumberFormat="1" applyFont="1" applyBorder="1"/>
    <xf numFmtId="9" fontId="22" fillId="0" borderId="0" xfId="1" applyFont="1"/>
    <xf numFmtId="170" fontId="22" fillId="0" borderId="8" xfId="8" applyNumberFormat="1" applyFont="1" applyFill="1" applyBorder="1"/>
    <xf numFmtId="170" fontId="22" fillId="0" borderId="17" xfId="8" applyNumberFormat="1" applyFont="1" applyFill="1" applyBorder="1"/>
    <xf numFmtId="170" fontId="22" fillId="0" borderId="11" xfId="8" applyNumberFormat="1" applyFont="1" applyFill="1" applyBorder="1"/>
    <xf numFmtId="0" fontId="22" fillId="0" borderId="0" xfId="2" applyFont="1"/>
    <xf numFmtId="173" fontId="22" fillId="0" borderId="8" xfId="11" applyNumberFormat="1" applyFont="1" applyFill="1" applyBorder="1"/>
    <xf numFmtId="173" fontId="22" fillId="0" borderId="17" xfId="2" applyNumberFormat="1" applyFont="1" applyBorder="1"/>
    <xf numFmtId="43" fontId="22" fillId="12" borderId="17" xfId="8" applyFont="1" applyFill="1" applyBorder="1"/>
    <xf numFmtId="43" fontId="22" fillId="0" borderId="17" xfId="2" applyNumberFormat="1" applyFont="1" applyBorder="1" applyAlignment="1">
      <alignment horizontal="right"/>
    </xf>
    <xf numFmtId="43" fontId="22" fillId="0" borderId="42" xfId="2" applyNumberFormat="1" applyFont="1" applyBorder="1" applyAlignment="1">
      <alignment horizontal="right"/>
    </xf>
    <xf numFmtId="173" fontId="22" fillId="0" borderId="18" xfId="11" applyNumberFormat="1" applyFont="1" applyFill="1" applyBorder="1"/>
    <xf numFmtId="2" fontId="22" fillId="12" borderId="17" xfId="2" applyNumberFormat="1" applyFont="1" applyFill="1" applyBorder="1"/>
    <xf numFmtId="43" fontId="22" fillId="0" borderId="11" xfId="2" applyNumberFormat="1" applyFont="1" applyBorder="1" applyAlignment="1">
      <alignment horizontal="right"/>
    </xf>
    <xf numFmtId="170" fontId="22" fillId="0" borderId="8" xfId="7" applyNumberFormat="1" applyFont="1" applyFill="1" applyBorder="1"/>
    <xf numFmtId="173" fontId="22" fillId="0" borderId="17" xfId="11" applyNumberFormat="1" applyFont="1" applyFill="1" applyBorder="1"/>
    <xf numFmtId="165" fontId="19" fillId="0" borderId="17" xfId="6" applyNumberFormat="1" applyFont="1" applyBorder="1"/>
    <xf numFmtId="166" fontId="19" fillId="0" borderId="11" xfId="9" applyNumberFormat="1" applyFont="1" applyBorder="1"/>
    <xf numFmtId="165" fontId="13" fillId="0" borderId="8" xfId="6" applyNumberFormat="1" applyFont="1" applyFill="1" applyBorder="1" applyAlignment="1">
      <alignment horizontal="left"/>
    </xf>
    <xf numFmtId="0" fontId="15" fillId="0" borderId="11" xfId="2" applyFont="1" applyBorder="1" applyAlignment="1">
      <alignment horizontal="left"/>
    </xf>
    <xf numFmtId="173" fontId="22" fillId="0" borderId="17" xfId="11" applyNumberFormat="1" applyFont="1" applyBorder="1"/>
    <xf numFmtId="0" fontId="15" fillId="0" borderId="54" xfId="2" applyFont="1" applyBorder="1" applyAlignment="1">
      <alignment horizontal="left"/>
    </xf>
    <xf numFmtId="0" fontId="15" fillId="0" borderId="0" xfId="2" applyFont="1" applyAlignment="1">
      <alignment vertical="top"/>
    </xf>
    <xf numFmtId="0" fontId="12" fillId="13" borderId="26" xfId="2" applyFont="1" applyFill="1" applyBorder="1" applyAlignment="1">
      <alignment horizontal="center" vertical="top" wrapText="1"/>
    </xf>
    <xf numFmtId="0" fontId="12" fillId="13" borderId="25" xfId="2" applyFont="1" applyFill="1" applyBorder="1" applyAlignment="1">
      <alignment horizontal="center" vertical="top" wrapText="1"/>
    </xf>
    <xf numFmtId="0" fontId="13" fillId="9" borderId="39" xfId="2" applyFont="1" applyFill="1" applyBorder="1" applyAlignment="1">
      <alignment horizontal="center" vertical="top" wrapText="1"/>
    </xf>
    <xf numFmtId="0" fontId="13" fillId="9" borderId="17" xfId="2" applyFont="1" applyFill="1" applyBorder="1" applyAlignment="1">
      <alignment horizontal="center" vertical="top" wrapText="1"/>
    </xf>
    <xf numFmtId="0" fontId="12" fillId="13" borderId="39" xfId="2" applyFont="1" applyFill="1" applyBorder="1" applyAlignment="1">
      <alignment horizontal="center" vertical="top" wrapText="1"/>
    </xf>
    <xf numFmtId="0" fontId="12" fillId="13" borderId="55" xfId="2" applyFont="1" applyFill="1" applyBorder="1" applyAlignment="1">
      <alignment horizontal="center" vertical="top" wrapText="1"/>
    </xf>
    <xf numFmtId="0" fontId="12" fillId="14" borderId="55" xfId="2" applyFont="1" applyFill="1" applyBorder="1" applyAlignment="1">
      <alignment horizontal="center" vertical="top" wrapText="1"/>
    </xf>
    <xf numFmtId="0" fontId="12" fillId="14" borderId="25" xfId="2" applyFont="1" applyFill="1" applyBorder="1" applyAlignment="1">
      <alignment horizontal="center" vertical="top" wrapText="1"/>
    </xf>
    <xf numFmtId="0" fontId="12" fillId="14" borderId="39" xfId="2" applyFont="1" applyFill="1" applyBorder="1" applyAlignment="1">
      <alignment horizontal="center" vertical="top" wrapText="1"/>
    </xf>
    <xf numFmtId="0" fontId="12" fillId="15" borderId="55" xfId="2" applyFont="1" applyFill="1" applyBorder="1" applyAlignment="1">
      <alignment horizontal="center" vertical="top" wrapText="1"/>
    </xf>
    <xf numFmtId="0" fontId="12" fillId="15" borderId="25" xfId="2" applyFont="1" applyFill="1" applyBorder="1" applyAlignment="1">
      <alignment horizontal="center" vertical="top" wrapText="1"/>
    </xf>
    <xf numFmtId="0" fontId="12" fillId="15" borderId="39" xfId="2" applyFont="1" applyFill="1" applyBorder="1" applyAlignment="1">
      <alignment horizontal="center" vertical="top" wrapText="1"/>
    </xf>
    <xf numFmtId="0" fontId="25" fillId="15" borderId="8" xfId="2" applyFont="1" applyFill="1" applyBorder="1" applyAlignment="1">
      <alignment horizontal="center" vertical="top" wrapText="1"/>
    </xf>
    <xf numFmtId="0" fontId="25" fillId="15" borderId="17" xfId="2" applyFont="1" applyFill="1" applyBorder="1" applyAlignment="1">
      <alignment horizontal="center" vertical="top" wrapText="1"/>
    </xf>
    <xf numFmtId="0" fontId="25" fillId="15" borderId="42" xfId="2" applyFont="1" applyFill="1" applyBorder="1" applyAlignment="1">
      <alignment horizontal="center" vertical="top" wrapText="1"/>
    </xf>
    <xf numFmtId="0" fontId="25" fillId="15" borderId="18" xfId="2" applyFont="1" applyFill="1" applyBorder="1" applyAlignment="1">
      <alignment horizontal="center" vertical="top" wrapText="1"/>
    </xf>
    <xf numFmtId="0" fontId="25" fillId="15" borderId="11" xfId="2" applyFont="1" applyFill="1" applyBorder="1" applyAlignment="1">
      <alignment horizontal="center" vertical="top" wrapText="1"/>
    </xf>
    <xf numFmtId="168" fontId="25" fillId="16" borderId="8" xfId="7" applyNumberFormat="1" applyFont="1" applyFill="1" applyBorder="1" applyAlignment="1">
      <alignment horizontal="center" vertical="top" wrapText="1"/>
    </xf>
    <xf numFmtId="0" fontId="25" fillId="16" borderId="17" xfId="2" applyFont="1" applyFill="1" applyBorder="1" applyAlignment="1">
      <alignment horizontal="center" vertical="top" wrapText="1"/>
    </xf>
    <xf numFmtId="0" fontId="25" fillId="16" borderId="11" xfId="2" applyFont="1" applyFill="1" applyBorder="1" applyAlignment="1">
      <alignment horizontal="center" vertical="top" wrapText="1"/>
    </xf>
    <xf numFmtId="164" fontId="12" fillId="0" borderId="0" xfId="3" applyNumberFormat="1" applyFont="1" applyAlignment="1">
      <alignment horizontal="center" vertical="top"/>
    </xf>
    <xf numFmtId="0" fontId="22" fillId="0" borderId="0" xfId="2" applyFont="1" applyAlignment="1">
      <alignment vertical="top"/>
    </xf>
    <xf numFmtId="0" fontId="21" fillId="0" borderId="0" xfId="2" applyFont="1" applyAlignment="1">
      <alignment vertical="top"/>
    </xf>
    <xf numFmtId="0" fontId="25" fillId="15" borderId="49" xfId="2" applyFont="1" applyFill="1" applyBorder="1" applyAlignment="1">
      <alignment horizontal="centerContinuous" vertical="top"/>
    </xf>
    <xf numFmtId="0" fontId="12" fillId="15" borderId="41" xfId="2" applyFont="1" applyFill="1" applyBorder="1" applyAlignment="1">
      <alignment horizontal="centerContinuous" vertical="top"/>
    </xf>
    <xf numFmtId="0" fontId="25" fillId="15" borderId="57" xfId="2" applyFont="1" applyFill="1" applyBorder="1" applyAlignment="1">
      <alignment horizontal="centerContinuous" vertical="top"/>
    </xf>
    <xf numFmtId="0" fontId="12" fillId="15" borderId="49" xfId="2" applyFont="1" applyFill="1" applyBorder="1" applyAlignment="1">
      <alignment horizontal="centerContinuous" vertical="top"/>
    </xf>
    <xf numFmtId="0" fontId="25" fillId="0" borderId="0" xfId="2" applyFont="1" applyAlignment="1">
      <alignment vertical="top"/>
    </xf>
    <xf numFmtId="0" fontId="12" fillId="16" borderId="49" xfId="2" applyFont="1" applyFill="1" applyBorder="1" applyAlignment="1">
      <alignment horizontal="centerContinuous" vertical="top"/>
    </xf>
    <xf numFmtId="9" fontId="12" fillId="16" borderId="49" xfId="10" applyFont="1" applyFill="1" applyBorder="1" applyAlignment="1">
      <alignment horizontal="center" vertical="top"/>
    </xf>
    <xf numFmtId="9" fontId="22" fillId="0" borderId="0" xfId="12" applyFont="1" applyFill="1" applyBorder="1" applyAlignment="1">
      <alignment horizontal="center" vertical="top" wrapText="1"/>
    </xf>
    <xf numFmtId="0" fontId="27" fillId="0" borderId="0" xfId="2" applyFont="1" applyAlignment="1">
      <alignment horizontal="center" vertical="top"/>
    </xf>
    <xf numFmtId="0" fontId="28" fillId="0" borderId="0" xfId="2" applyFont="1" applyAlignment="1">
      <alignment vertical="top"/>
    </xf>
    <xf numFmtId="0" fontId="19" fillId="0" borderId="0" xfId="2" applyFont="1" applyAlignment="1">
      <alignment vertical="top"/>
    </xf>
    <xf numFmtId="6" fontId="15" fillId="0" borderId="0" xfId="2" applyNumberFormat="1" applyFont="1" applyAlignment="1">
      <alignment vertical="top"/>
    </xf>
    <xf numFmtId="0" fontId="12" fillId="15" borderId="28" xfId="2" applyFont="1" applyFill="1" applyBorder="1" applyAlignment="1">
      <alignment horizontal="centerContinuous" vertical="top"/>
    </xf>
    <xf numFmtId="0" fontId="12" fillId="15" borderId="31" xfId="2" applyFont="1" applyFill="1" applyBorder="1" applyAlignment="1">
      <alignment horizontal="centerContinuous" vertical="top"/>
    </xf>
    <xf numFmtId="0" fontId="12" fillId="15" borderId="58" xfId="2" applyFont="1" applyFill="1" applyBorder="1" applyAlignment="1">
      <alignment horizontal="centerContinuous" vertical="top"/>
    </xf>
    <xf numFmtId="168" fontId="25" fillId="16" borderId="28" xfId="7" applyNumberFormat="1" applyFont="1" applyFill="1" applyBorder="1" applyAlignment="1">
      <alignment horizontal="centerContinuous" vertical="top"/>
    </xf>
    <xf numFmtId="0" fontId="25" fillId="16" borderId="59" xfId="2" applyFont="1" applyFill="1" applyBorder="1" applyAlignment="1">
      <alignment horizontal="centerContinuous" vertical="top"/>
    </xf>
    <xf numFmtId="0" fontId="25" fillId="16" borderId="28" xfId="2" applyFont="1" applyFill="1" applyBorder="1" applyAlignment="1">
      <alignment horizontal="centerContinuous" vertical="top"/>
    </xf>
    <xf numFmtId="0" fontId="12" fillId="16" borderId="28" xfId="2" applyFont="1" applyFill="1" applyBorder="1" applyAlignment="1">
      <alignment horizontal="centerContinuous" vertical="top"/>
    </xf>
    <xf numFmtId="0" fontId="12" fillId="0" borderId="0" xfId="2" applyFont="1" applyAlignment="1">
      <alignment horizontal="centerContinuous" vertical="top"/>
    </xf>
    <xf numFmtId="9" fontId="17" fillId="0" borderId="0" xfId="2" applyNumberFormat="1" applyFont="1"/>
    <xf numFmtId="44" fontId="17" fillId="0" borderId="0" xfId="5" applyFont="1"/>
    <xf numFmtId="0" fontId="29" fillId="0" borderId="0" xfId="2" applyFont="1" applyAlignment="1">
      <alignment horizontal="left"/>
    </xf>
    <xf numFmtId="10" fontId="27" fillId="0" borderId="0" xfId="12" applyNumberFormat="1" applyFont="1" applyAlignment="1">
      <alignment horizontal="center"/>
    </xf>
    <xf numFmtId="6" fontId="15" fillId="0" borderId="0" xfId="2" applyNumberFormat="1" applyFont="1" applyAlignment="1">
      <alignment horizontal="center" vertical="top"/>
    </xf>
    <xf numFmtId="10" fontId="15" fillId="0" borderId="0" xfId="2" applyNumberFormat="1" applyFont="1" applyAlignment="1">
      <alignment horizontal="center" vertical="top"/>
    </xf>
    <xf numFmtId="42" fontId="15" fillId="0" borderId="0" xfId="8" applyNumberFormat="1" applyFont="1" applyFill="1" applyBorder="1" applyAlignment="1">
      <alignment horizontal="right" vertical="top"/>
    </xf>
    <xf numFmtId="9" fontId="15" fillId="0" borderId="0" xfId="2" applyNumberFormat="1" applyFont="1" applyAlignment="1">
      <alignment horizontal="center" vertical="top"/>
    </xf>
    <xf numFmtId="168" fontId="17" fillId="0" borderId="0" xfId="7" applyNumberFormat="1" applyFont="1" applyFill="1" applyBorder="1" applyAlignment="1">
      <alignment horizontal="left"/>
    </xf>
    <xf numFmtId="9" fontId="15" fillId="0" borderId="0" xfId="10" applyFont="1" applyFill="1" applyBorder="1" applyAlignment="1">
      <alignment horizontal="center"/>
    </xf>
    <xf numFmtId="9" fontId="13" fillId="0" borderId="0" xfId="10" applyFont="1" applyFill="1" applyBorder="1" applyAlignment="1">
      <alignment horizontal="right"/>
    </xf>
    <xf numFmtId="6" fontId="15" fillId="18" borderId="0" xfId="2" applyNumberFormat="1" applyFont="1" applyFill="1" applyAlignment="1">
      <alignment horizontal="center" vertical="top"/>
    </xf>
    <xf numFmtId="6" fontId="15" fillId="18" borderId="17" xfId="2" applyNumberFormat="1" applyFont="1" applyFill="1" applyBorder="1" applyAlignment="1">
      <alignment horizontal="center" vertical="top"/>
    </xf>
    <xf numFmtId="9" fontId="15" fillId="18" borderId="0" xfId="2" applyNumberFormat="1" applyFont="1" applyFill="1" applyAlignment="1">
      <alignment horizontal="center" vertical="top"/>
    </xf>
    <xf numFmtId="10" fontId="15" fillId="19" borderId="17" xfId="2" applyNumberFormat="1" applyFont="1" applyFill="1" applyBorder="1" applyAlignment="1">
      <alignment horizontal="center" vertical="top"/>
    </xf>
    <xf numFmtId="42" fontId="15" fillId="19" borderId="17" xfId="8" applyNumberFormat="1" applyFont="1" applyFill="1" applyBorder="1" applyAlignment="1">
      <alignment horizontal="right" vertical="top"/>
    </xf>
    <xf numFmtId="9" fontId="15" fillId="19" borderId="17" xfId="2" applyNumberFormat="1" applyFont="1" applyFill="1" applyBorder="1" applyAlignment="1">
      <alignment horizontal="center" vertical="top"/>
    </xf>
    <xf numFmtId="9" fontId="15" fillId="19" borderId="17" xfId="10" applyFont="1" applyFill="1" applyBorder="1" applyAlignment="1">
      <alignment horizontal="center"/>
    </xf>
    <xf numFmtId="0" fontId="24" fillId="0" borderId="17" xfId="2" applyFont="1" applyBorder="1"/>
    <xf numFmtId="0" fontId="24" fillId="0" borderId="0" xfId="2" applyFont="1"/>
    <xf numFmtId="10" fontId="19" fillId="0" borderId="0" xfId="12" applyNumberFormat="1" applyFont="1" applyFill="1" applyBorder="1" applyAlignment="1">
      <alignment horizontal="center"/>
    </xf>
    <xf numFmtId="43" fontId="19" fillId="0" borderId="0" xfId="7" applyFont="1" applyFill="1" applyBorder="1"/>
    <xf numFmtId="9" fontId="13" fillId="0" borderId="0" xfId="10" applyFont="1" applyFill="1" applyBorder="1" applyAlignment="1">
      <alignment horizontal="left"/>
    </xf>
    <xf numFmtId="0" fontId="13" fillId="0" borderId="0" xfId="2" applyFont="1" applyAlignment="1">
      <alignment horizontal="right"/>
    </xf>
    <xf numFmtId="0" fontId="18" fillId="0" borderId="0" xfId="2" applyFont="1"/>
    <xf numFmtId="0" fontId="30" fillId="0" borderId="0" xfId="2" applyFont="1" applyAlignment="1">
      <alignment horizontal="center"/>
    </xf>
    <xf numFmtId="0" fontId="30" fillId="0" borderId="0" xfId="2" applyFont="1"/>
    <xf numFmtId="10" fontId="31" fillId="0" borderId="0" xfId="10" applyNumberFormat="1" applyFont="1" applyFill="1" applyBorder="1" applyAlignment="1">
      <alignment horizontal="center" vertical="center"/>
    </xf>
    <xf numFmtId="0" fontId="32" fillId="0" borderId="0" xfId="2" applyFont="1"/>
    <xf numFmtId="0" fontId="33" fillId="0" borderId="0" xfId="2" applyFont="1"/>
    <xf numFmtId="0" fontId="34" fillId="0" borderId="0" xfId="2" applyFont="1"/>
    <xf numFmtId="0" fontId="35" fillId="0" borderId="0" xfId="2" applyFont="1"/>
    <xf numFmtId="168" fontId="32" fillId="0" borderId="0" xfId="7" applyNumberFormat="1" applyFont="1"/>
    <xf numFmtId="0" fontId="32" fillId="0" borderId="0" xfId="2" applyFont="1" applyAlignment="1">
      <alignment horizontal="center"/>
    </xf>
    <xf numFmtId="0" fontId="36" fillId="0" borderId="0" xfId="2" applyFont="1" applyAlignment="1">
      <alignment horizontal="left"/>
    </xf>
    <xf numFmtId="174" fontId="37" fillId="0" borderId="0" xfId="13" applyFont="1" applyFill="1" applyAlignment="1">
      <alignment horizontal="left" vertical="top"/>
    </xf>
    <xf numFmtId="0" fontId="15" fillId="0" borderId="0" xfId="14" applyFont="1"/>
    <xf numFmtId="0" fontId="15" fillId="0" borderId="0" xfId="14" applyFont="1" applyAlignment="1">
      <alignment horizontal="center"/>
    </xf>
    <xf numFmtId="0" fontId="40" fillId="0" borderId="0" xfId="14" applyFont="1"/>
    <xf numFmtId="0" fontId="12" fillId="17" borderId="62" xfId="14" applyFont="1" applyFill="1" applyBorder="1"/>
    <xf numFmtId="0" fontId="12" fillId="17" borderId="63" xfId="14" applyFont="1" applyFill="1" applyBorder="1" applyAlignment="1">
      <alignment horizontal="center"/>
    </xf>
    <xf numFmtId="0" fontId="12" fillId="17" borderId="64" xfId="14" applyFont="1" applyFill="1" applyBorder="1" applyAlignment="1">
      <alignment horizontal="center"/>
    </xf>
    <xf numFmtId="0" fontId="25" fillId="17" borderId="64" xfId="14" applyFont="1" applyFill="1" applyBorder="1"/>
    <xf numFmtId="0" fontId="13" fillId="0" borderId="65" xfId="14" applyFont="1" applyBorder="1"/>
    <xf numFmtId="37" fontId="17" fillId="21" borderId="66" xfId="8" applyNumberFormat="1" applyFont="1" applyFill="1" applyBorder="1" applyAlignment="1" applyProtection="1">
      <alignment horizontal="center"/>
      <protection locked="0"/>
    </xf>
    <xf numFmtId="37" fontId="15" fillId="22" borderId="66" xfId="14" applyNumberFormat="1" applyFont="1" applyFill="1" applyBorder="1" applyAlignment="1">
      <alignment horizontal="center"/>
    </xf>
    <xf numFmtId="37" fontId="15" fillId="0" borderId="66" xfId="14" applyNumberFormat="1" applyFont="1" applyBorder="1" applyAlignment="1">
      <alignment horizontal="center"/>
    </xf>
    <xf numFmtId="37" fontId="15" fillId="22" borderId="67" xfId="14" applyNumberFormat="1" applyFont="1" applyFill="1" applyBorder="1" applyAlignment="1">
      <alignment horizontal="center"/>
    </xf>
    <xf numFmtId="0" fontId="15" fillId="0" borderId="67" xfId="2" applyFont="1" applyBorder="1" applyAlignment="1">
      <alignment horizontal="center"/>
    </xf>
    <xf numFmtId="37" fontId="40" fillId="0" borderId="0" xfId="14" applyNumberFormat="1" applyFont="1"/>
    <xf numFmtId="9" fontId="40" fillId="0" borderId="0" xfId="1" applyFont="1"/>
    <xf numFmtId="37" fontId="17" fillId="0" borderId="66" xfId="8" applyNumberFormat="1" applyFont="1" applyFill="1" applyBorder="1" applyAlignment="1" applyProtection="1">
      <alignment horizontal="center"/>
      <protection locked="0"/>
    </xf>
    <xf numFmtId="37" fontId="15" fillId="22" borderId="66" xfId="6" applyNumberFormat="1" applyFont="1" applyFill="1" applyBorder="1" applyAlignment="1">
      <alignment horizontal="center"/>
    </xf>
    <xf numFmtId="37" fontId="15" fillId="0" borderId="66" xfId="6" applyNumberFormat="1" applyFont="1" applyFill="1" applyBorder="1" applyAlignment="1">
      <alignment horizontal="center"/>
    </xf>
    <xf numFmtId="37" fontId="15" fillId="22" borderId="67" xfId="6" applyNumberFormat="1" applyFont="1" applyFill="1" applyBorder="1" applyAlignment="1">
      <alignment horizontal="center"/>
    </xf>
    <xf numFmtId="0" fontId="13" fillId="0" borderId="68" xfId="14" applyFont="1" applyBorder="1"/>
    <xf numFmtId="37" fontId="17" fillId="21" borderId="69" xfId="8" applyNumberFormat="1" applyFont="1" applyFill="1" applyBorder="1" applyAlignment="1" applyProtection="1">
      <alignment horizontal="center"/>
      <protection locked="0"/>
    </xf>
    <xf numFmtId="37" fontId="15" fillId="22" borderId="69" xfId="6" applyNumberFormat="1" applyFont="1" applyFill="1" applyBorder="1" applyAlignment="1">
      <alignment horizontal="center"/>
    </xf>
    <xf numFmtId="37" fontId="15" fillId="0" borderId="69" xfId="6" applyNumberFormat="1" applyFont="1" applyFill="1" applyBorder="1" applyAlignment="1">
      <alignment horizontal="center"/>
    </xf>
    <xf numFmtId="37" fontId="15" fillId="22" borderId="70" xfId="6" applyNumberFormat="1" applyFont="1" applyFill="1" applyBorder="1" applyAlignment="1">
      <alignment horizontal="center"/>
    </xf>
    <xf numFmtId="0" fontId="15" fillId="0" borderId="70" xfId="2" applyFont="1" applyBorder="1" applyAlignment="1">
      <alignment horizontal="center"/>
    </xf>
    <xf numFmtId="0" fontId="13" fillId="0" borderId="71" xfId="14" applyFont="1" applyBorder="1"/>
    <xf numFmtId="37" fontId="15" fillId="21" borderId="72" xfId="8" applyNumberFormat="1" applyFont="1" applyFill="1" applyBorder="1" applyAlignment="1">
      <alignment horizontal="center"/>
    </xf>
    <xf numFmtId="37" fontId="15" fillId="22" borderId="72" xfId="8" applyNumberFormat="1" applyFont="1" applyFill="1" applyBorder="1" applyAlignment="1">
      <alignment horizontal="center"/>
    </xf>
    <xf numFmtId="0" fontId="15" fillId="0" borderId="73" xfId="14" applyFont="1" applyBorder="1"/>
    <xf numFmtId="6" fontId="15" fillId="0" borderId="0" xfId="14" applyNumberFormat="1" applyFont="1" applyAlignment="1">
      <alignment horizontal="right"/>
    </xf>
    <xf numFmtId="165" fontId="15" fillId="0" borderId="0" xfId="8" applyNumberFormat="1" applyFont="1" applyFill="1" applyAlignment="1">
      <alignment horizontal="right"/>
    </xf>
    <xf numFmtId="0" fontId="15" fillId="0" borderId="0" xfId="14" applyFont="1" applyAlignment="1">
      <alignment horizontal="right"/>
    </xf>
    <xf numFmtId="0" fontId="17" fillId="0" borderId="0" xfId="14" applyFont="1"/>
    <xf numFmtId="0" fontId="12" fillId="14" borderId="62" xfId="14" applyFont="1" applyFill="1" applyBorder="1"/>
    <xf numFmtId="0" fontId="12" fillId="14" borderId="63" xfId="14" applyFont="1" applyFill="1" applyBorder="1" applyAlignment="1">
      <alignment horizontal="center"/>
    </xf>
    <xf numFmtId="0" fontId="12" fillId="23" borderId="64" xfId="14" applyFont="1" applyFill="1" applyBorder="1" applyAlignment="1">
      <alignment horizontal="center"/>
    </xf>
    <xf numFmtId="0" fontId="25" fillId="14" borderId="64" xfId="14" applyFont="1" applyFill="1" applyBorder="1"/>
    <xf numFmtId="0" fontId="24" fillId="0" borderId="65" xfId="14" applyFont="1" applyBorder="1"/>
    <xf numFmtId="3" fontId="15" fillId="0" borderId="66" xfId="3" applyNumberFormat="1" applyFont="1" applyBorder="1" applyAlignment="1">
      <alignment horizontal="center"/>
    </xf>
    <xf numFmtId="3" fontId="15" fillId="22" borderId="66" xfId="3" applyNumberFormat="1" applyFont="1" applyFill="1" applyBorder="1" applyAlignment="1">
      <alignment horizontal="center"/>
    </xf>
    <xf numFmtId="3" fontId="15" fillId="22" borderId="67" xfId="3" applyNumberFormat="1" applyFont="1" applyFill="1" applyBorder="1" applyAlignment="1">
      <alignment horizontal="center"/>
    </xf>
    <xf numFmtId="3" fontId="15" fillId="0" borderId="66" xfId="6" applyNumberFormat="1" applyFont="1" applyFill="1" applyBorder="1" applyAlignment="1">
      <alignment horizontal="center"/>
    </xf>
    <xf numFmtId="3" fontId="15" fillId="22" borderId="66" xfId="6" applyNumberFormat="1" applyFont="1" applyFill="1" applyBorder="1" applyAlignment="1">
      <alignment horizontal="center"/>
    </xf>
    <xf numFmtId="3" fontId="15" fillId="22" borderId="67" xfId="6" applyNumberFormat="1" applyFont="1" applyFill="1" applyBorder="1" applyAlignment="1">
      <alignment horizontal="center"/>
    </xf>
    <xf numFmtId="3" fontId="15" fillId="0" borderId="66" xfId="14" applyNumberFormat="1" applyFont="1" applyBorder="1" applyAlignment="1">
      <alignment horizontal="center"/>
    </xf>
    <xf numFmtId="3" fontId="15" fillId="22" borderId="66" xfId="14" applyNumberFormat="1" applyFont="1" applyFill="1" applyBorder="1" applyAlignment="1">
      <alignment horizontal="center"/>
    </xf>
    <xf numFmtId="3" fontId="15" fillId="22" borderId="67" xfId="14" applyNumberFormat="1" applyFont="1" applyFill="1" applyBorder="1" applyAlignment="1">
      <alignment horizontal="center"/>
    </xf>
    <xf numFmtId="3" fontId="15" fillId="11" borderId="66" xfId="14" applyNumberFormat="1" applyFont="1" applyFill="1" applyBorder="1" applyAlignment="1">
      <alignment horizontal="center"/>
    </xf>
    <xf numFmtId="3" fontId="15" fillId="11" borderId="67" xfId="14" applyNumberFormat="1" applyFont="1" applyFill="1" applyBorder="1" applyAlignment="1">
      <alignment horizontal="center"/>
    </xf>
    <xf numFmtId="3" fontId="15" fillId="24" borderId="66" xfId="14" applyNumberFormat="1" applyFont="1" applyFill="1" applyBorder="1" applyAlignment="1">
      <alignment horizontal="center"/>
    </xf>
    <xf numFmtId="0" fontId="24" fillId="0" borderId="68" xfId="14" applyFont="1" applyBorder="1"/>
    <xf numFmtId="3" fontId="15" fillId="0" borderId="69" xfId="14" applyNumberFormat="1" applyFont="1" applyBorder="1" applyAlignment="1">
      <alignment horizontal="center"/>
    </xf>
    <xf numFmtId="3" fontId="15" fillId="22" borderId="69" xfId="14" applyNumberFormat="1" applyFont="1" applyFill="1" applyBorder="1" applyAlignment="1">
      <alignment horizontal="center"/>
    </xf>
    <xf numFmtId="3" fontId="15" fillId="22" borderId="70" xfId="14" applyNumberFormat="1" applyFont="1" applyFill="1" applyBorder="1" applyAlignment="1">
      <alignment horizontal="center"/>
    </xf>
    <xf numFmtId="0" fontId="24" fillId="0" borderId="71" xfId="14" applyFont="1" applyBorder="1"/>
    <xf numFmtId="6" fontId="17" fillId="0" borderId="0" xfId="14" applyNumberFormat="1" applyFont="1" applyAlignment="1">
      <alignment horizontal="right"/>
    </xf>
    <xf numFmtId="0" fontId="17" fillId="0" borderId="0" xfId="14" applyFont="1" applyAlignment="1">
      <alignment horizontal="right"/>
    </xf>
    <xf numFmtId="0" fontId="12" fillId="15" borderId="62" xfId="14" applyFont="1" applyFill="1" applyBorder="1"/>
    <xf numFmtId="0" fontId="12" fillId="15" borderId="63" xfId="14" applyFont="1" applyFill="1" applyBorder="1" applyAlignment="1">
      <alignment horizontal="center"/>
    </xf>
    <xf numFmtId="0" fontId="12" fillId="25" borderId="64" xfId="14" applyFont="1" applyFill="1" applyBorder="1" applyAlignment="1">
      <alignment horizontal="center"/>
    </xf>
    <xf numFmtId="0" fontId="25" fillId="15" borderId="64" xfId="14" applyFont="1" applyFill="1" applyBorder="1"/>
    <xf numFmtId="0" fontId="17" fillId="0" borderId="73" xfId="14" applyFont="1" applyBorder="1"/>
    <xf numFmtId="0" fontId="17" fillId="0" borderId="0" xfId="14" applyFont="1" applyAlignment="1">
      <alignment horizontal="center"/>
    </xf>
    <xf numFmtId="0" fontId="24" fillId="0" borderId="0" xfId="14" applyFont="1"/>
    <xf numFmtId="0" fontId="24" fillId="0" borderId="0" xfId="14" applyFont="1" applyAlignment="1">
      <alignment horizontal="center"/>
    </xf>
    <xf numFmtId="0" fontId="24" fillId="0" borderId="17" xfId="14" applyFont="1" applyBorder="1"/>
    <xf numFmtId="42" fontId="1" fillId="0" borderId="17" xfId="4" applyNumberFormat="1" applyFont="1" applyFill="1" applyBorder="1" applyProtection="1">
      <protection locked="0"/>
    </xf>
    <xf numFmtId="0" fontId="15" fillId="0" borderId="17" xfId="2" applyFont="1" applyBorder="1" applyAlignment="1">
      <alignment horizontal="center"/>
    </xf>
    <xf numFmtId="42" fontId="41" fillId="0" borderId="17" xfId="0" applyNumberFormat="1" applyFont="1" applyBorder="1"/>
    <xf numFmtId="42" fontId="41" fillId="0" borderId="14" xfId="0" applyNumberFormat="1" applyFont="1" applyBorder="1"/>
    <xf numFmtId="0" fontId="24" fillId="20" borderId="17" xfId="14" applyFont="1" applyFill="1" applyBorder="1"/>
    <xf numFmtId="165" fontId="17" fillId="20" borderId="17" xfId="4" applyNumberFormat="1" applyFont="1" applyFill="1" applyBorder="1" applyProtection="1">
      <protection locked="0"/>
    </xf>
    <xf numFmtId="0" fontId="17" fillId="20" borderId="17" xfId="14" applyFont="1" applyFill="1" applyBorder="1"/>
    <xf numFmtId="0" fontId="24" fillId="0" borderId="12" xfId="14" applyFont="1" applyBorder="1"/>
    <xf numFmtId="0" fontId="24" fillId="0" borderId="0" xfId="14" applyFont="1" applyAlignment="1">
      <alignment horizontal="center" wrapText="1"/>
    </xf>
    <xf numFmtId="42" fontId="15" fillId="22" borderId="17" xfId="8" applyNumberFormat="1" applyFont="1" applyFill="1" applyBorder="1" applyAlignment="1" applyProtection="1">
      <alignment horizontal="center"/>
    </xf>
    <xf numFmtId="42" fontId="15" fillId="0" borderId="17" xfId="15" applyNumberFormat="1" applyFont="1" applyFill="1" applyBorder="1" applyAlignment="1" applyProtection="1">
      <alignment horizontal="center"/>
    </xf>
    <xf numFmtId="42" fontId="15" fillId="22" borderId="17" xfId="4" applyNumberFormat="1" applyFont="1" applyFill="1" applyBorder="1" applyAlignment="1" applyProtection="1">
      <alignment horizontal="center"/>
    </xf>
    <xf numFmtId="42" fontId="42" fillId="0" borderId="17" xfId="4" applyNumberFormat="1" applyFont="1" applyFill="1" applyBorder="1" applyAlignment="1" applyProtection="1">
      <alignment horizontal="center"/>
    </xf>
    <xf numFmtId="42" fontId="43" fillId="0" borderId="17" xfId="0" applyNumberFormat="1" applyFont="1" applyBorder="1"/>
    <xf numFmtId="42" fontId="43" fillId="0" borderId="14" xfId="0" applyNumberFormat="1" applyFont="1" applyBorder="1"/>
    <xf numFmtId="42" fontId="15" fillId="9" borderId="17" xfId="15" applyNumberFormat="1" applyFont="1" applyFill="1" applyBorder="1" applyAlignment="1" applyProtection="1">
      <alignment horizontal="center"/>
    </xf>
    <xf numFmtId="42" fontId="17" fillId="22" borderId="17" xfId="4" applyNumberFormat="1" applyFont="1" applyFill="1" applyBorder="1" applyProtection="1">
      <protection locked="0"/>
    </xf>
    <xf numFmtId="42" fontId="17" fillId="20" borderId="17" xfId="8" applyNumberFormat="1" applyFont="1" applyFill="1" applyBorder="1" applyProtection="1">
      <protection locked="0"/>
    </xf>
    <xf numFmtId="42" fontId="15" fillId="20" borderId="17" xfId="8" applyNumberFormat="1" applyFont="1" applyFill="1" applyBorder="1" applyAlignment="1" applyProtection="1">
      <alignment horizontal="center"/>
    </xf>
    <xf numFmtId="165" fontId="15" fillId="20" borderId="17" xfId="4" applyNumberFormat="1" applyFont="1" applyFill="1" applyBorder="1" applyAlignment="1" applyProtection="1">
      <alignment horizontal="center"/>
    </xf>
    <xf numFmtId="174" fontId="13" fillId="26" borderId="0" xfId="13" applyFont="1" applyFill="1" applyAlignment="1">
      <alignment horizontal="left" vertical="top"/>
    </xf>
    <xf numFmtId="0" fontId="13" fillId="0" borderId="17" xfId="2" applyFont="1" applyBorder="1" applyAlignment="1">
      <alignment horizontal="left"/>
    </xf>
    <xf numFmtId="0" fontId="17" fillId="0" borderId="0" xfId="2" applyFont="1" applyAlignment="1">
      <alignment horizontal="center"/>
    </xf>
    <xf numFmtId="10" fontId="31" fillId="19" borderId="33" xfId="10" applyNumberFormat="1" applyFont="1" applyFill="1" applyBorder="1" applyAlignment="1">
      <alignment horizontal="center" vertical="center"/>
    </xf>
    <xf numFmtId="10" fontId="19" fillId="0" borderId="0" xfId="12" applyNumberFormat="1" applyFont="1" applyFill="1" applyAlignment="1">
      <alignment horizontal="center"/>
    </xf>
    <xf numFmtId="9" fontId="13" fillId="0" borderId="74" xfId="10" applyFont="1" applyFill="1" applyBorder="1" applyAlignment="1">
      <alignment horizontal="left"/>
    </xf>
    <xf numFmtId="43" fontId="19" fillId="0" borderId="75" xfId="7" applyFont="1" applyFill="1" applyBorder="1"/>
    <xf numFmtId="0" fontId="17" fillId="0" borderId="75" xfId="2" applyFont="1" applyBorder="1" applyAlignment="1">
      <alignment horizontal="left"/>
    </xf>
    <xf numFmtId="10" fontId="19" fillId="0" borderId="76" xfId="12" applyNumberFormat="1" applyFont="1" applyFill="1" applyBorder="1" applyAlignment="1">
      <alignment horizontal="center"/>
    </xf>
    <xf numFmtId="0" fontId="24" fillId="0" borderId="74" xfId="2" applyFont="1" applyBorder="1"/>
    <xf numFmtId="0" fontId="17" fillId="0" borderId="75" xfId="2" applyFont="1" applyBorder="1"/>
    <xf numFmtId="0" fontId="17" fillId="0" borderId="76" xfId="2" applyFont="1" applyBorder="1"/>
    <xf numFmtId="10" fontId="17" fillId="0" borderId="0" xfId="12" applyNumberFormat="1" applyFont="1"/>
    <xf numFmtId="0" fontId="12" fillId="16" borderId="24" xfId="2" applyFont="1" applyFill="1" applyBorder="1" applyAlignment="1">
      <alignment horizontal="left" vertical="top" wrapText="1"/>
    </xf>
    <xf numFmtId="0" fontId="12" fillId="16" borderId="58" xfId="2" applyFont="1" applyFill="1" applyBorder="1" applyAlignment="1">
      <alignment horizontal="centerContinuous" vertical="top"/>
    </xf>
    <xf numFmtId="168" fontId="25" fillId="16" borderId="58" xfId="7" applyNumberFormat="1" applyFont="1" applyFill="1" applyBorder="1" applyAlignment="1">
      <alignment horizontal="centerContinuous" vertical="top"/>
    </xf>
    <xf numFmtId="0" fontId="15" fillId="0" borderId="0" xfId="2" applyFont="1" applyAlignment="1">
      <alignment horizontal="right" vertical="top"/>
    </xf>
    <xf numFmtId="9" fontId="15" fillId="0" borderId="0" xfId="2" applyNumberFormat="1" applyFont="1" applyAlignment="1">
      <alignment vertical="top"/>
    </xf>
    <xf numFmtId="10" fontId="17" fillId="0" borderId="0" xfId="1" applyNumberFormat="1" applyFont="1"/>
    <xf numFmtId="0" fontId="12" fillId="16" borderId="13" xfId="2" applyFont="1" applyFill="1" applyBorder="1" applyAlignment="1">
      <alignment horizontal="left" vertical="top" wrapText="1"/>
    </xf>
    <xf numFmtId="9" fontId="25" fillId="16" borderId="57" xfId="12" applyFont="1" applyFill="1" applyBorder="1" applyAlignment="1">
      <alignment horizontal="center" vertical="top" wrapText="1"/>
    </xf>
    <xf numFmtId="0" fontId="12" fillId="16" borderId="57" xfId="2" applyFont="1" applyFill="1" applyBorder="1" applyAlignment="1">
      <alignment horizontal="centerContinuous" vertical="top"/>
    </xf>
    <xf numFmtId="0" fontId="13" fillId="0" borderId="0" xfId="2" applyFont="1" applyAlignment="1">
      <alignment vertical="top"/>
    </xf>
    <xf numFmtId="0" fontId="12" fillId="16" borderId="77" xfId="2" applyFont="1" applyFill="1" applyBorder="1" applyAlignment="1">
      <alignment horizontal="left" vertical="top" wrapText="1"/>
    </xf>
    <xf numFmtId="164" fontId="12" fillId="16" borderId="78" xfId="3" applyNumberFormat="1" applyFont="1" applyFill="1" applyBorder="1" applyAlignment="1">
      <alignment horizontal="center" vertical="top"/>
    </xf>
    <xf numFmtId="168" fontId="25" fillId="16" borderId="18" xfId="7" applyNumberFormat="1" applyFont="1" applyFill="1" applyBorder="1" applyAlignment="1">
      <alignment horizontal="center" vertical="top" wrapText="1"/>
    </xf>
    <xf numFmtId="0" fontId="12" fillId="15" borderId="40" xfId="2" applyFont="1" applyFill="1" applyBorder="1" applyAlignment="1">
      <alignment horizontal="center" vertical="top" wrapText="1"/>
    </xf>
    <xf numFmtId="0" fontId="12" fillId="15" borderId="26" xfId="2" applyFont="1" applyFill="1" applyBorder="1" applyAlignment="1">
      <alignment horizontal="center" vertical="top" wrapText="1"/>
    </xf>
    <xf numFmtId="0" fontId="12" fillId="14" borderId="40" xfId="2" applyFont="1" applyFill="1" applyBorder="1" applyAlignment="1">
      <alignment horizontal="center" vertical="top" wrapText="1"/>
    </xf>
    <xf numFmtId="0" fontId="12" fillId="14" borderId="26" xfId="2" applyFont="1" applyFill="1" applyBorder="1" applyAlignment="1">
      <alignment horizontal="center" vertical="top" wrapText="1"/>
    </xf>
    <xf numFmtId="0" fontId="12" fillId="13" borderId="40" xfId="2" applyFont="1" applyFill="1" applyBorder="1" applyAlignment="1">
      <alignment horizontal="center" vertical="top" wrapText="1"/>
    </xf>
    <xf numFmtId="0" fontId="15" fillId="0" borderId="77" xfId="2" applyFont="1" applyBorder="1" applyAlignment="1">
      <alignment horizontal="left"/>
    </xf>
    <xf numFmtId="165" fontId="13" fillId="0" borderId="18" xfId="6" applyNumberFormat="1" applyFont="1" applyFill="1" applyBorder="1" applyAlignment="1">
      <alignment horizontal="left"/>
    </xf>
    <xf numFmtId="173" fontId="15" fillId="0" borderId="17" xfId="11" applyNumberFormat="1" applyFont="1" applyBorder="1"/>
    <xf numFmtId="10" fontId="15" fillId="0" borderId="18" xfId="1" applyNumberFormat="1" applyFont="1" applyFill="1" applyBorder="1"/>
    <xf numFmtId="43" fontId="17" fillId="0" borderId="42" xfId="2" applyNumberFormat="1" applyFont="1" applyBorder="1" applyAlignment="1">
      <alignment horizontal="right"/>
    </xf>
    <xf numFmtId="43" fontId="17" fillId="0" borderId="17" xfId="2" applyNumberFormat="1" applyFont="1" applyBorder="1" applyAlignment="1">
      <alignment horizontal="right"/>
    </xf>
    <xf numFmtId="2" fontId="15" fillId="12" borderId="17" xfId="2" applyNumberFormat="1" applyFont="1" applyFill="1" applyBorder="1"/>
    <xf numFmtId="173" fontId="15" fillId="0" borderId="17" xfId="2" applyNumberFormat="1" applyFont="1" applyBorder="1"/>
    <xf numFmtId="173" fontId="15" fillId="0" borderId="18" xfId="11" applyNumberFormat="1" applyFont="1" applyFill="1" applyBorder="1"/>
    <xf numFmtId="43" fontId="15" fillId="12" borderId="17" xfId="8" applyFont="1" applyFill="1" applyBorder="1"/>
    <xf numFmtId="170" fontId="17" fillId="0" borderId="42" xfId="8" applyNumberFormat="1" applyFont="1" applyFill="1" applyBorder="1"/>
    <xf numFmtId="170" fontId="17" fillId="0" borderId="17" xfId="8" applyNumberFormat="1" applyFont="1" applyFill="1" applyBorder="1"/>
    <xf numFmtId="170" fontId="17" fillId="0" borderId="18" xfId="8" applyNumberFormat="1" applyFont="1" applyFill="1" applyBorder="1"/>
    <xf numFmtId="6" fontId="17" fillId="0" borderId="42" xfId="2" applyNumberFormat="1" applyFont="1" applyBorder="1"/>
    <xf numFmtId="6" fontId="17" fillId="0" borderId="17" xfId="2" applyNumberFormat="1" applyFont="1" applyBorder="1"/>
    <xf numFmtId="6" fontId="24" fillId="0" borderId="18" xfId="2" applyNumberFormat="1" applyFont="1" applyBorder="1"/>
    <xf numFmtId="6" fontId="19" fillId="0" borderId="42" xfId="2" applyNumberFormat="1" applyFont="1" applyBorder="1"/>
    <xf numFmtId="9" fontId="17" fillId="0" borderId="17" xfId="10" applyFont="1" applyFill="1" applyBorder="1"/>
    <xf numFmtId="166" fontId="13" fillId="0" borderId="17" xfId="2" applyNumberFormat="1" applyFont="1" applyBorder="1"/>
    <xf numFmtId="6" fontId="17" fillId="0" borderId="18" xfId="2" applyNumberFormat="1" applyFont="1" applyBorder="1"/>
    <xf numFmtId="166" fontId="19" fillId="0" borderId="42" xfId="9" applyNumberFormat="1" applyFont="1" applyFill="1" applyBorder="1"/>
    <xf numFmtId="0" fontId="17" fillId="9" borderId="17" xfId="2" applyFont="1" applyFill="1" applyBorder="1"/>
    <xf numFmtId="0" fontId="15" fillId="0" borderId="42" xfId="2" applyFont="1" applyBorder="1" applyAlignment="1">
      <alignment horizontal="left"/>
    </xf>
    <xf numFmtId="173" fontId="15" fillId="0" borderId="17" xfId="11" applyNumberFormat="1" applyFont="1" applyFill="1" applyBorder="1"/>
    <xf numFmtId="0" fontId="15" fillId="27" borderId="42" xfId="2" applyFont="1" applyFill="1" applyBorder="1" applyAlignment="1">
      <alignment horizontal="left"/>
    </xf>
    <xf numFmtId="165" fontId="13" fillId="27" borderId="18" xfId="6" applyNumberFormat="1" applyFont="1" applyFill="1" applyBorder="1" applyAlignment="1">
      <alignment horizontal="left"/>
    </xf>
    <xf numFmtId="166" fontId="19" fillId="27" borderId="11" xfId="9" applyNumberFormat="1" applyFont="1" applyFill="1" applyBorder="1"/>
    <xf numFmtId="165" fontId="19" fillId="27" borderId="17" xfId="6" applyNumberFormat="1" applyFont="1" applyFill="1" applyBorder="1"/>
    <xf numFmtId="173" fontId="15" fillId="27" borderId="17" xfId="11" applyNumberFormat="1" applyFont="1" applyFill="1" applyBorder="1"/>
    <xf numFmtId="10" fontId="15" fillId="27" borderId="18" xfId="1" applyNumberFormat="1" applyFont="1" applyFill="1" applyBorder="1"/>
    <xf numFmtId="43" fontId="17" fillId="27" borderId="42" xfId="2" applyNumberFormat="1" applyFont="1" applyFill="1" applyBorder="1" applyAlignment="1">
      <alignment horizontal="right"/>
    </xf>
    <xf numFmtId="43" fontId="17" fillId="27" borderId="17" xfId="2" applyNumberFormat="1" applyFont="1" applyFill="1" applyBorder="1" applyAlignment="1">
      <alignment horizontal="right"/>
    </xf>
    <xf numFmtId="2" fontId="15" fillId="27" borderId="17" xfId="2" applyNumberFormat="1" applyFont="1" applyFill="1" applyBorder="1"/>
    <xf numFmtId="173" fontId="15" fillId="27" borderId="17" xfId="2" applyNumberFormat="1" applyFont="1" applyFill="1" applyBorder="1"/>
    <xf numFmtId="173" fontId="15" fillId="27" borderId="18" xfId="11" applyNumberFormat="1" applyFont="1" applyFill="1" applyBorder="1"/>
    <xf numFmtId="43" fontId="15" fillId="27" borderId="17" xfId="8" applyFont="1" applyFill="1" applyBorder="1"/>
    <xf numFmtId="170" fontId="17" fillId="27" borderId="42" xfId="8" applyNumberFormat="1" applyFont="1" applyFill="1" applyBorder="1"/>
    <xf numFmtId="170" fontId="17" fillId="27" borderId="17" xfId="8" applyNumberFormat="1" applyFont="1" applyFill="1" applyBorder="1"/>
    <xf numFmtId="170" fontId="17" fillId="27" borderId="18" xfId="8" applyNumberFormat="1" applyFont="1" applyFill="1" applyBorder="1"/>
    <xf numFmtId="6" fontId="17" fillId="27" borderId="42" xfId="2" applyNumberFormat="1" applyFont="1" applyFill="1" applyBorder="1"/>
    <xf numFmtId="6" fontId="17" fillId="27" borderId="17" xfId="2" applyNumberFormat="1" applyFont="1" applyFill="1" applyBorder="1"/>
    <xf numFmtId="6" fontId="19" fillId="27" borderId="42" xfId="2" applyNumberFormat="1" applyFont="1" applyFill="1" applyBorder="1"/>
    <xf numFmtId="9" fontId="17" fillId="27" borderId="17" xfId="10" applyFont="1" applyFill="1" applyBorder="1"/>
    <xf numFmtId="166" fontId="13" fillId="27" borderId="17" xfId="2" applyNumberFormat="1" applyFont="1" applyFill="1" applyBorder="1"/>
    <xf numFmtId="6" fontId="17" fillId="27" borderId="18" xfId="2" applyNumberFormat="1" applyFont="1" applyFill="1" applyBorder="1"/>
    <xf numFmtId="173" fontId="44" fillId="19" borderId="17" xfId="11" applyNumberFormat="1" applyFont="1" applyFill="1" applyBorder="1"/>
    <xf numFmtId="10" fontId="44" fillId="19" borderId="18" xfId="1" applyNumberFormat="1" applyFont="1" applyFill="1" applyBorder="1"/>
    <xf numFmtId="10" fontId="17" fillId="0" borderId="17" xfId="10" applyNumberFormat="1" applyFont="1" applyFill="1" applyBorder="1"/>
    <xf numFmtId="44" fontId="13" fillId="0" borderId="17" xfId="2" applyNumberFormat="1" applyFont="1" applyBorder="1"/>
    <xf numFmtId="0" fontId="13" fillId="22" borderId="20" xfId="2" applyFont="1" applyFill="1" applyBorder="1" applyAlignment="1">
      <alignment horizontal="left"/>
    </xf>
    <xf numFmtId="165" fontId="13" fillId="22" borderId="52" xfId="6" applyNumberFormat="1" applyFont="1" applyFill="1" applyBorder="1" applyAlignment="1">
      <alignment horizontal="left"/>
    </xf>
    <xf numFmtId="165" fontId="13" fillId="22" borderId="20" xfId="8" applyNumberFormat="1" applyFont="1" applyFill="1" applyBorder="1"/>
    <xf numFmtId="165" fontId="13" fillId="22" borderId="51" xfId="8" applyNumberFormat="1" applyFont="1" applyFill="1" applyBorder="1"/>
    <xf numFmtId="170" fontId="13" fillId="22" borderId="51" xfId="8" applyNumberFormat="1" applyFont="1" applyFill="1" applyBorder="1"/>
    <xf numFmtId="170" fontId="13" fillId="22" borderId="48" xfId="8" applyNumberFormat="1" applyFont="1" applyFill="1" applyBorder="1"/>
    <xf numFmtId="43" fontId="13" fillId="22" borderId="45" xfId="8" applyFont="1" applyFill="1" applyBorder="1"/>
    <xf numFmtId="43" fontId="13" fillId="22" borderId="21" xfId="8" applyFont="1" applyFill="1" applyBorder="1"/>
    <xf numFmtId="2" fontId="13" fillId="22" borderId="21" xfId="2" applyNumberFormat="1" applyFont="1" applyFill="1" applyBorder="1"/>
    <xf numFmtId="170" fontId="13" fillId="22" borderId="21" xfId="8" applyNumberFormat="1" applyFont="1" applyFill="1" applyBorder="1"/>
    <xf numFmtId="170" fontId="13" fillId="22" borderId="22" xfId="8" applyNumberFormat="1" applyFont="1" applyFill="1" applyBorder="1"/>
    <xf numFmtId="8" fontId="13" fillId="22" borderId="45" xfId="8" applyNumberFormat="1" applyFont="1" applyFill="1" applyBorder="1"/>
    <xf numFmtId="8" fontId="13" fillId="22" borderId="21" xfId="8" applyNumberFormat="1" applyFont="1" applyFill="1" applyBorder="1"/>
    <xf numFmtId="8" fontId="13" fillId="22" borderId="21" xfId="2" applyNumberFormat="1" applyFont="1" applyFill="1" applyBorder="1"/>
    <xf numFmtId="170" fontId="13" fillId="22" borderId="45" xfId="2" applyNumberFormat="1" applyFont="1" applyFill="1" applyBorder="1"/>
    <xf numFmtId="170" fontId="13" fillId="22" borderId="21" xfId="2" applyNumberFormat="1" applyFont="1" applyFill="1" applyBorder="1"/>
    <xf numFmtId="170" fontId="13" fillId="22" borderId="22" xfId="2" applyNumberFormat="1" applyFont="1" applyFill="1" applyBorder="1"/>
    <xf numFmtId="6" fontId="13" fillId="22" borderId="45" xfId="10" applyNumberFormat="1" applyFont="1" applyFill="1" applyBorder="1"/>
    <xf numFmtId="6" fontId="13" fillId="22" borderId="21" xfId="10" applyNumberFormat="1" applyFont="1" applyFill="1" applyBorder="1"/>
    <xf numFmtId="6" fontId="13" fillId="22" borderId="22" xfId="10" applyNumberFormat="1" applyFont="1" applyFill="1" applyBorder="1"/>
    <xf numFmtId="6" fontId="23" fillId="22" borderId="45" xfId="2" applyNumberFormat="1" applyFont="1" applyFill="1" applyBorder="1"/>
    <xf numFmtId="0" fontId="13" fillId="22" borderId="21" xfId="2" applyFont="1" applyFill="1" applyBorder="1"/>
    <xf numFmtId="166" fontId="13" fillId="22" borderId="21" xfId="2" applyNumberFormat="1" applyFont="1" applyFill="1" applyBorder="1"/>
    <xf numFmtId="6" fontId="13" fillId="22" borderId="22" xfId="2" applyNumberFormat="1" applyFont="1" applyFill="1" applyBorder="1"/>
    <xf numFmtId="165" fontId="13" fillId="22" borderId="45" xfId="8" applyNumberFormat="1" applyFont="1" applyFill="1" applyBorder="1"/>
    <xf numFmtId="165" fontId="13" fillId="22" borderId="44" xfId="8" applyNumberFormat="1" applyFont="1" applyFill="1" applyBorder="1"/>
    <xf numFmtId="170" fontId="13" fillId="22" borderId="44" xfId="8" applyNumberFormat="1" applyFont="1" applyFill="1" applyBorder="1"/>
    <xf numFmtId="169" fontId="13" fillId="22" borderId="44" xfId="8" applyNumberFormat="1" applyFont="1" applyFill="1" applyBorder="1"/>
    <xf numFmtId="168" fontId="13" fillId="22" borderId="44" xfId="8" applyNumberFormat="1" applyFont="1" applyFill="1" applyBorder="1"/>
    <xf numFmtId="8" fontId="13" fillId="0" borderId="0" xfId="2" applyNumberFormat="1" applyFont="1"/>
    <xf numFmtId="0" fontId="13" fillId="27" borderId="65" xfId="14" applyFont="1" applyFill="1" applyBorder="1"/>
    <xf numFmtId="37" fontId="15" fillId="27" borderId="66" xfId="6" applyNumberFormat="1" applyFont="1" applyFill="1" applyBorder="1" applyAlignment="1">
      <alignment horizontal="center"/>
    </xf>
    <xf numFmtId="37" fontId="17" fillId="27" borderId="66" xfId="8" applyNumberFormat="1" applyFont="1" applyFill="1" applyBorder="1" applyAlignment="1" applyProtection="1">
      <alignment horizontal="center"/>
      <protection locked="0"/>
    </xf>
    <xf numFmtId="0" fontId="15" fillId="27" borderId="67" xfId="2" applyFont="1" applyFill="1" applyBorder="1" applyAlignment="1">
      <alignment horizontal="center"/>
    </xf>
    <xf numFmtId="37" fontId="17" fillId="21" borderId="72" xfId="8" applyNumberFormat="1" applyFont="1" applyFill="1" applyBorder="1" applyAlignment="1" applyProtection="1">
      <alignment horizontal="center"/>
      <protection locked="0"/>
    </xf>
    <xf numFmtId="37" fontId="15" fillId="0" borderId="72" xfId="8" applyNumberFormat="1" applyFont="1" applyBorder="1" applyAlignment="1">
      <alignment horizontal="center"/>
    </xf>
    <xf numFmtId="0" fontId="24" fillId="27" borderId="65" xfId="14" applyFont="1" applyFill="1" applyBorder="1"/>
    <xf numFmtId="3" fontId="15" fillId="27" borderId="66" xfId="6" applyNumberFormat="1" applyFont="1" applyFill="1" applyBorder="1" applyAlignment="1">
      <alignment horizontal="center"/>
    </xf>
    <xf numFmtId="3" fontId="15" fillId="27" borderId="66" xfId="14" applyNumberFormat="1" applyFont="1" applyFill="1" applyBorder="1" applyAlignment="1">
      <alignment horizontal="center"/>
    </xf>
    <xf numFmtId="3" fontId="15" fillId="22" borderId="69" xfId="6" applyNumberFormat="1" applyFont="1" applyFill="1" applyBorder="1" applyAlignment="1">
      <alignment horizontal="center"/>
    </xf>
    <xf numFmtId="3" fontId="15" fillId="0" borderId="72" xfId="8" applyNumberFormat="1" applyFont="1" applyFill="1" applyBorder="1" applyAlignment="1">
      <alignment horizontal="center"/>
    </xf>
    <xf numFmtId="3" fontId="45" fillId="0" borderId="0" xfId="0" applyNumberFormat="1" applyFont="1"/>
    <xf numFmtId="3" fontId="17" fillId="0" borderId="72" xfId="8" applyNumberFormat="1" applyFont="1" applyBorder="1" applyAlignment="1">
      <alignment horizontal="center"/>
    </xf>
    <xf numFmtId="42" fontId="1" fillId="0" borderId="79" xfId="4" applyNumberFormat="1" applyFont="1" applyFill="1" applyBorder="1" applyProtection="1">
      <protection locked="0"/>
    </xf>
    <xf numFmtId="0" fontId="13" fillId="27" borderId="17" xfId="14" applyFont="1" applyFill="1" applyBorder="1"/>
    <xf numFmtId="42" fontId="1" fillId="0" borderId="17" xfId="4" applyNumberFormat="1" applyFont="1" applyFill="1" applyBorder="1" applyAlignment="1" applyProtection="1">
      <alignment horizontal="center"/>
      <protection locked="0"/>
    </xf>
    <xf numFmtId="0" fontId="15" fillId="27" borderId="17" xfId="2" applyFont="1" applyFill="1" applyBorder="1" applyAlignment="1">
      <alignment horizontal="center"/>
    </xf>
    <xf numFmtId="165" fontId="1" fillId="0" borderId="17" xfId="4" applyNumberFormat="1" applyFont="1" applyFill="1" applyBorder="1" applyProtection="1">
      <protection locked="0"/>
    </xf>
    <xf numFmtId="0" fontId="24" fillId="0" borderId="0" xfId="14" applyFont="1" applyAlignment="1">
      <alignment horizontal="left" wrapText="1"/>
    </xf>
    <xf numFmtId="0" fontId="14" fillId="0" borderId="17" xfId="0" applyFont="1" applyBorder="1" applyAlignment="1">
      <alignment wrapText="1"/>
    </xf>
    <xf numFmtId="166" fontId="13" fillId="22" borderId="21" xfId="5" applyNumberFormat="1" applyFont="1" applyFill="1" applyBorder="1"/>
    <xf numFmtId="43" fontId="17" fillId="0" borderId="0" xfId="2" applyNumberFormat="1" applyFont="1"/>
    <xf numFmtId="0" fontId="12" fillId="17" borderId="12" xfId="14" applyFont="1" applyFill="1" applyBorder="1"/>
    <xf numFmtId="0" fontId="12" fillId="17" borderId="0" xfId="14" applyFont="1" applyFill="1" applyAlignment="1">
      <alignment horizontal="center"/>
    </xf>
    <xf numFmtId="0" fontId="25" fillId="17" borderId="0" xfId="14" applyFont="1" applyFill="1"/>
    <xf numFmtId="0" fontId="13" fillId="0" borderId="0" xfId="14" applyFont="1"/>
    <xf numFmtId="37" fontId="17" fillId="21" borderId="17" xfId="8" applyNumberFormat="1" applyFont="1" applyFill="1" applyBorder="1" applyAlignment="1" applyProtection="1">
      <alignment horizontal="center"/>
      <protection locked="0"/>
    </xf>
    <xf numFmtId="37" fontId="15" fillId="22" borderId="17" xfId="14" applyNumberFormat="1" applyFont="1" applyFill="1" applyBorder="1" applyAlignment="1">
      <alignment horizontal="center"/>
    </xf>
    <xf numFmtId="37" fontId="15" fillId="22" borderId="17" xfId="6" applyNumberFormat="1" applyFont="1" applyFill="1" applyBorder="1" applyAlignment="1">
      <alignment horizontal="center"/>
    </xf>
    <xf numFmtId="0" fontId="13" fillId="27" borderId="0" xfId="14" applyFont="1" applyFill="1"/>
    <xf numFmtId="37" fontId="17" fillId="27" borderId="17" xfId="8" applyNumberFormat="1" applyFont="1" applyFill="1" applyBorder="1" applyAlignment="1" applyProtection="1">
      <alignment horizontal="center"/>
      <protection locked="0"/>
    </xf>
    <xf numFmtId="37" fontId="15" fillId="27" borderId="17" xfId="6" applyNumberFormat="1" applyFont="1" applyFill="1" applyBorder="1" applyAlignment="1">
      <alignment horizontal="center"/>
    </xf>
    <xf numFmtId="0" fontId="13" fillId="0" borderId="12" xfId="14" applyFont="1" applyBorder="1"/>
    <xf numFmtId="37" fontId="15" fillId="22" borderId="33" xfId="6" applyNumberFormat="1" applyFont="1" applyFill="1" applyBorder="1" applyAlignment="1">
      <alignment horizontal="center"/>
    </xf>
    <xf numFmtId="37" fontId="15" fillId="22" borderId="17" xfId="8" applyNumberFormat="1" applyFont="1" applyFill="1" applyBorder="1" applyAlignment="1">
      <alignment horizontal="center"/>
    </xf>
    <xf numFmtId="37" fontId="15" fillId="0" borderId="17" xfId="8" applyNumberFormat="1" applyFont="1" applyBorder="1" applyAlignment="1">
      <alignment horizontal="center"/>
    </xf>
    <xf numFmtId="0" fontId="12" fillId="14" borderId="12" xfId="14" applyFont="1" applyFill="1" applyBorder="1"/>
    <xf numFmtId="0" fontId="12" fillId="14" borderId="12" xfId="14" applyFont="1" applyFill="1" applyBorder="1" applyAlignment="1">
      <alignment horizontal="left"/>
    </xf>
    <xf numFmtId="0" fontId="12" fillId="14" borderId="0" xfId="14" applyFont="1" applyFill="1" applyAlignment="1">
      <alignment horizontal="center"/>
    </xf>
    <xf numFmtId="0" fontId="25" fillId="14" borderId="0" xfId="14" applyFont="1" applyFill="1"/>
    <xf numFmtId="3" fontId="15" fillId="0" borderId="17" xfId="5" applyNumberFormat="1" applyFont="1" applyFill="1" applyBorder="1" applyAlignment="1" applyProtection="1">
      <alignment horizontal="center"/>
    </xf>
    <xf numFmtId="3" fontId="15" fillId="22" borderId="17" xfId="14" applyNumberFormat="1" applyFont="1" applyFill="1" applyBorder="1" applyAlignment="1">
      <alignment horizontal="center"/>
    </xf>
    <xf numFmtId="3" fontId="15" fillId="0" borderId="17" xfId="3" applyNumberFormat="1" applyFont="1" applyBorder="1" applyAlignment="1">
      <alignment horizontal="center"/>
    </xf>
    <xf numFmtId="3" fontId="15" fillId="22" borderId="17" xfId="3" applyNumberFormat="1" applyFont="1" applyFill="1" applyBorder="1" applyAlignment="1">
      <alignment horizontal="center"/>
    </xf>
    <xf numFmtId="3" fontId="15" fillId="22" borderId="17" xfId="6" applyNumberFormat="1" applyFont="1" applyFill="1" applyBorder="1" applyAlignment="1">
      <alignment horizontal="center"/>
    </xf>
    <xf numFmtId="3" fontId="15" fillId="0" borderId="17" xfId="6" applyNumberFormat="1" applyFont="1" applyFill="1" applyBorder="1" applyAlignment="1">
      <alignment horizontal="center"/>
    </xf>
    <xf numFmtId="3" fontId="15" fillId="0" borderId="17" xfId="14" applyNumberFormat="1" applyFont="1" applyBorder="1" applyAlignment="1">
      <alignment horizontal="center"/>
    </xf>
    <xf numFmtId="0" fontId="24" fillId="27" borderId="0" xfId="14" applyFont="1" applyFill="1"/>
    <xf numFmtId="165" fontId="15" fillId="27" borderId="0" xfId="8" applyNumberFormat="1" applyFont="1" applyFill="1" applyAlignment="1">
      <alignment horizontal="right"/>
    </xf>
    <xf numFmtId="3" fontId="15" fillId="27" borderId="17" xfId="5" applyNumberFormat="1" applyFont="1" applyFill="1" applyBorder="1" applyAlignment="1" applyProtection="1">
      <alignment horizontal="center"/>
    </xf>
    <xf numFmtId="3" fontId="15" fillId="27" borderId="17" xfId="6" applyNumberFormat="1" applyFont="1" applyFill="1" applyBorder="1" applyAlignment="1">
      <alignment horizontal="center"/>
    </xf>
    <xf numFmtId="3" fontId="15" fillId="27" borderId="17" xfId="14" applyNumberFormat="1" applyFont="1" applyFill="1" applyBorder="1" applyAlignment="1">
      <alignment horizontal="center"/>
    </xf>
    <xf numFmtId="165" fontId="15" fillId="0" borderId="0" xfId="8" applyNumberFormat="1" applyFont="1" applyFill="1" applyBorder="1" applyAlignment="1">
      <alignment horizontal="right"/>
    </xf>
    <xf numFmtId="165" fontId="15" fillId="0" borderId="12" xfId="8" applyNumberFormat="1" applyFont="1" applyFill="1" applyBorder="1" applyAlignment="1">
      <alignment horizontal="right"/>
    </xf>
    <xf numFmtId="3" fontId="15" fillId="22" borderId="33" xfId="14" applyNumberFormat="1" applyFont="1" applyFill="1" applyBorder="1" applyAlignment="1">
      <alignment horizontal="center"/>
    </xf>
    <xf numFmtId="165" fontId="15" fillId="0" borderId="0" xfId="8" applyNumberFormat="1" applyFont="1" applyAlignment="1">
      <alignment horizontal="right"/>
    </xf>
    <xf numFmtId="3" fontId="15" fillId="0" borderId="0" xfId="8" applyNumberFormat="1" applyFont="1" applyFill="1" applyAlignment="1">
      <alignment horizontal="center"/>
    </xf>
    <xf numFmtId="0" fontId="12" fillId="15" borderId="12" xfId="14" applyFont="1" applyFill="1" applyBorder="1"/>
    <xf numFmtId="0" fontId="12" fillId="15" borderId="12" xfId="14" applyFont="1" applyFill="1" applyBorder="1" applyAlignment="1">
      <alignment horizontal="center"/>
    </xf>
    <xf numFmtId="0" fontId="12" fillId="15" borderId="0" xfId="14" applyFont="1" applyFill="1" applyAlignment="1">
      <alignment horizontal="center"/>
    </xf>
    <xf numFmtId="0" fontId="25" fillId="15" borderId="0" xfId="14" applyFont="1" applyFill="1"/>
    <xf numFmtId="3" fontId="17" fillId="0" borderId="0" xfId="8" applyNumberFormat="1" applyFont="1" applyAlignment="1">
      <alignment horizontal="center"/>
    </xf>
    <xf numFmtId="165" fontId="17" fillId="0" borderId="0" xfId="14" applyNumberFormat="1" applyFont="1" applyAlignment="1">
      <alignment horizontal="right"/>
    </xf>
    <xf numFmtId="42" fontId="17" fillId="28" borderId="17" xfId="4" applyNumberFormat="1" applyFont="1" applyFill="1" applyBorder="1" applyProtection="1">
      <protection locked="0"/>
    </xf>
    <xf numFmtId="42" fontId="15" fillId="27" borderId="17" xfId="4" applyNumberFormat="1" applyFont="1" applyFill="1" applyBorder="1" applyProtection="1">
      <protection locked="0"/>
    </xf>
    <xf numFmtId="42" fontId="15" fillId="0" borderId="17" xfId="8" applyNumberFormat="1" applyFont="1" applyFill="1" applyBorder="1" applyAlignment="1" applyProtection="1">
      <alignment horizontal="center"/>
    </xf>
    <xf numFmtId="42" fontId="15" fillId="28" borderId="17" xfId="4" applyNumberFormat="1" applyFont="1" applyFill="1" applyBorder="1" applyAlignment="1" applyProtection="1">
      <alignment horizontal="center"/>
    </xf>
    <xf numFmtId="42" fontId="15" fillId="0" borderId="17" xfId="4" applyNumberFormat="1" applyFont="1" applyFill="1" applyBorder="1" applyAlignment="1" applyProtection="1">
      <alignment horizontal="center"/>
    </xf>
    <xf numFmtId="42" fontId="15" fillId="21" borderId="17" xfId="8" applyNumberFormat="1" applyFont="1" applyFill="1" applyBorder="1" applyAlignment="1" applyProtection="1">
      <alignment horizontal="center"/>
    </xf>
    <xf numFmtId="42" fontId="15" fillId="20" borderId="17" xfId="4" applyNumberFormat="1" applyFont="1" applyFill="1" applyBorder="1" applyAlignment="1" applyProtection="1">
      <alignment horizontal="center"/>
    </xf>
    <xf numFmtId="0" fontId="12" fillId="20" borderId="0" xfId="2" applyFont="1" applyFill="1" applyAlignment="1">
      <alignment horizontal="center"/>
    </xf>
    <xf numFmtId="0" fontId="24" fillId="0" borderId="8" xfId="2" applyFont="1" applyBorder="1" applyAlignment="1">
      <alignment horizontal="left"/>
    </xf>
    <xf numFmtId="0" fontId="24" fillId="0" borderId="49" xfId="2" applyFont="1" applyBorder="1" applyAlignment="1">
      <alignment horizontal="left"/>
    </xf>
    <xf numFmtId="0" fontId="24" fillId="0" borderId="11" xfId="2" applyFont="1" applyBorder="1" applyAlignment="1">
      <alignment horizontal="left"/>
    </xf>
    <xf numFmtId="0" fontId="12" fillId="17" borderId="61" xfId="2" applyFont="1" applyFill="1" applyBorder="1" applyAlignment="1">
      <alignment horizontal="center" vertical="center" wrapText="1"/>
    </xf>
    <xf numFmtId="0" fontId="12" fillId="17" borderId="37" xfId="2" applyFont="1" applyFill="1" applyBorder="1" applyAlignment="1">
      <alignment horizontal="center" vertical="center" wrapText="1"/>
    </xf>
    <xf numFmtId="0" fontId="12" fillId="17" borderId="54" xfId="2" applyFont="1" applyFill="1" applyBorder="1" applyAlignment="1">
      <alignment horizontal="center" vertical="center" wrapText="1"/>
    </xf>
    <xf numFmtId="164" fontId="12" fillId="17" borderId="60" xfId="3" applyNumberFormat="1" applyFont="1" applyFill="1" applyBorder="1" applyAlignment="1">
      <alignment horizontal="center" vertical="center"/>
    </xf>
    <xf numFmtId="164" fontId="12" fillId="17" borderId="38" xfId="3" applyNumberFormat="1" applyFont="1" applyFill="1" applyBorder="1" applyAlignment="1">
      <alignment horizontal="center" vertical="center"/>
    </xf>
    <xf numFmtId="164" fontId="12" fillId="17" borderId="56" xfId="3" applyNumberFormat="1" applyFont="1" applyFill="1" applyBorder="1" applyAlignment="1">
      <alignment horizontal="center" vertical="center"/>
    </xf>
    <xf numFmtId="166" fontId="15" fillId="9" borderId="17" xfId="9" applyNumberFormat="1" applyFont="1" applyFill="1" applyBorder="1"/>
    <xf numFmtId="168" fontId="15" fillId="9" borderId="17" xfId="4" applyNumberFormat="1" applyFont="1" applyFill="1" applyBorder="1"/>
    <xf numFmtId="171" fontId="15" fillId="9" borderId="17" xfId="1" applyNumberFormat="1" applyFont="1" applyFill="1" applyBorder="1"/>
    <xf numFmtId="166" fontId="24" fillId="9" borderId="17" xfId="2" applyNumberFormat="1" applyFont="1" applyFill="1" applyBorder="1"/>
    <xf numFmtId="0" fontId="15" fillId="0" borderId="32" xfId="2" applyFont="1" applyFill="1" applyBorder="1" applyAlignment="1">
      <alignment horizontal="left"/>
    </xf>
    <xf numFmtId="0" fontId="14" fillId="0" borderId="14" xfId="0" applyFont="1" applyBorder="1"/>
    <xf numFmtId="0" fontId="3" fillId="2" borderId="0" xfId="0" applyFont="1" applyFill="1"/>
    <xf numFmtId="0" fontId="15" fillId="9" borderId="17" xfId="2" applyFont="1" applyFill="1" applyBorder="1" applyAlignment="1">
      <alignment vertical="top" wrapText="1"/>
    </xf>
    <xf numFmtId="172" fontId="17" fillId="9" borderId="17" xfId="2" applyNumberFormat="1" applyFont="1" applyFill="1" applyBorder="1"/>
    <xf numFmtId="172" fontId="17" fillId="9" borderId="17" xfId="2" applyNumberFormat="1" applyFont="1" applyFill="1" applyBorder="1" applyAlignment="1">
      <alignment horizontal="right"/>
    </xf>
    <xf numFmtId="0" fontId="15" fillId="9" borderId="33" xfId="2" applyFont="1" applyFill="1" applyBorder="1" applyAlignment="1">
      <alignment vertical="top" wrapText="1"/>
    </xf>
    <xf numFmtId="168" fontId="19" fillId="9" borderId="17" xfId="4" applyNumberFormat="1" applyFont="1" applyFill="1" applyBorder="1"/>
    <xf numFmtId="170" fontId="19" fillId="9" borderId="17" xfId="4" applyNumberFormat="1" applyFont="1" applyFill="1" applyBorder="1"/>
    <xf numFmtId="10" fontId="19" fillId="9" borderId="17" xfId="1" applyNumberFormat="1" applyFont="1" applyFill="1" applyBorder="1"/>
    <xf numFmtId="166" fontId="19" fillId="0" borderId="49" xfId="9" applyNumberFormat="1" applyFont="1" applyFill="1" applyBorder="1"/>
    <xf numFmtId="166" fontId="19" fillId="27" borderId="49" xfId="9" applyNumberFormat="1" applyFont="1" applyFill="1" applyBorder="1"/>
    <xf numFmtId="166" fontId="13" fillId="9" borderId="17" xfId="9" applyNumberFormat="1" applyFont="1" applyFill="1" applyBorder="1"/>
    <xf numFmtId="0" fontId="12" fillId="13" borderId="80" xfId="2" applyFont="1" applyFill="1" applyBorder="1" applyAlignment="1">
      <alignment horizontal="center" vertical="top" wrapText="1"/>
    </xf>
    <xf numFmtId="165" fontId="13" fillId="22" borderId="43" xfId="8" applyNumberFormat="1" applyFont="1" applyFill="1" applyBorder="1"/>
    <xf numFmtId="0" fontId="13" fillId="9" borderId="40" xfId="2" applyFont="1" applyFill="1" applyBorder="1" applyAlignment="1">
      <alignment horizontal="center" vertical="top" wrapText="1"/>
    </xf>
    <xf numFmtId="0" fontId="13" fillId="9" borderId="25" xfId="2" applyFont="1" applyFill="1" applyBorder="1" applyAlignment="1">
      <alignment horizontal="center" vertical="top" wrapText="1"/>
    </xf>
    <xf numFmtId="0" fontId="13" fillId="9" borderId="81" xfId="2" applyFont="1" applyFill="1" applyBorder="1" applyAlignment="1">
      <alignment horizontal="center" vertical="top" wrapText="1"/>
    </xf>
    <xf numFmtId="175" fontId="19" fillId="9" borderId="42" xfId="4" applyNumberFormat="1" applyFont="1" applyFill="1" applyBorder="1"/>
    <xf numFmtId="166" fontId="24" fillId="9" borderId="18" xfId="2" applyNumberFormat="1" applyFont="1" applyFill="1" applyBorder="1"/>
    <xf numFmtId="165" fontId="13" fillId="22" borderId="82" xfId="8" applyNumberFormat="1" applyFont="1" applyFill="1" applyBorder="1"/>
    <xf numFmtId="0" fontId="15" fillId="9" borderId="74" xfId="2" applyFont="1" applyFill="1" applyBorder="1" applyAlignment="1">
      <alignment vertical="top" wrapText="1"/>
    </xf>
    <xf numFmtId="172" fontId="17" fillId="9" borderId="8" xfId="2" applyNumberFormat="1" applyFont="1" applyFill="1" applyBorder="1" applyAlignment="1">
      <alignment horizontal="right"/>
    </xf>
    <xf numFmtId="165" fontId="13" fillId="10" borderId="45" xfId="8" applyNumberFormat="1" applyFont="1" applyFill="1" applyBorder="1"/>
    <xf numFmtId="168" fontId="13" fillId="9" borderId="21" xfId="8" applyNumberFormat="1" applyFont="1" applyFill="1" applyBorder="1"/>
    <xf numFmtId="165" fontId="13" fillId="9" borderId="47" xfId="8" applyNumberFormat="1" applyFont="1" applyFill="1" applyBorder="1"/>
    <xf numFmtId="169" fontId="15" fillId="9" borderId="83" xfId="8" applyNumberFormat="1" applyFont="1" applyFill="1" applyBorder="1"/>
    <xf numFmtId="165" fontId="15" fillId="9" borderId="83" xfId="8" applyNumberFormat="1" applyFont="1" applyFill="1" applyBorder="1"/>
    <xf numFmtId="44" fontId="13" fillId="9" borderId="82" xfId="2" applyNumberFormat="1" applyFont="1" applyFill="1" applyBorder="1"/>
  </cellXfs>
  <cellStyles count="16">
    <cellStyle name="Comma 11 2" xfId="15" xr:uid="{74112C90-6110-4D9D-A2BB-A3E544FA3339}"/>
    <cellStyle name="Comma 2 2" xfId="4" xr:uid="{AA09EA1D-8E9F-419F-A908-3E848C07CC14}"/>
    <cellStyle name="Comma 2 2 2" xfId="6" xr:uid="{4E27B312-E867-47E6-A3BF-45331FE5BB2C}"/>
    <cellStyle name="Comma 4 6" xfId="8" xr:uid="{47055CA3-8D6E-43A8-90EF-E162A5C9DC2A}"/>
    <cellStyle name="Comma 5 4" xfId="7" xr:uid="{BC7DF9F6-98E8-4B1E-9FE4-5439F026BEE8}"/>
    <cellStyle name="Comma 7" xfId="13" xr:uid="{78B410DB-24EC-4EB8-A706-8080116B3F3E}"/>
    <cellStyle name="Currency 2" xfId="5" xr:uid="{AE12187A-5B07-4952-B3F7-E6014A0285EF}"/>
    <cellStyle name="Currency 3 2 4" xfId="9" xr:uid="{34EA3AD2-9591-4904-AE00-B8D8EAD295DB}"/>
    <cellStyle name="Normal" xfId="0" builtinId="0"/>
    <cellStyle name="Normal 10 5" xfId="14" xr:uid="{14151630-DB50-4846-86C5-90772D9A598A}"/>
    <cellStyle name="Normal 4 2" xfId="3" xr:uid="{5C3B2765-602C-430B-86A5-FEE4BC8DA3CA}"/>
    <cellStyle name="Normal 8 2 4 2" xfId="2" xr:uid="{244970A0-6EA3-4193-A68C-CDEB1BDC194C}"/>
    <cellStyle name="Percent 3 2" xfId="1" xr:uid="{3FE0EB42-61A9-484F-A9C0-BA825B84DCC2}"/>
    <cellStyle name="Percent 4 2" xfId="11" xr:uid="{3C11E4B3-3B11-470F-8198-2F5CA22009BF}"/>
    <cellStyle name="Percent 4 3" xfId="10" xr:uid="{014DB72C-5EBD-42CA-982F-A802A51DB2D8}"/>
    <cellStyle name="Percent 7" xfId="12" xr:uid="{CD61B330-101B-4F13-B08F-0A4C5B9EAD5A}"/>
  </cellStyles>
  <dxfs count="41">
    <dxf>
      <fill>
        <patternFill>
          <bgColor theme="9"/>
        </patternFill>
      </fill>
    </dxf>
    <dxf>
      <fill>
        <patternFill>
          <bgColor theme="6"/>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6"/>
        </patternFill>
      </fill>
    </dxf>
    <dxf>
      <fill>
        <patternFill>
          <bgColor theme="6"/>
        </patternFill>
      </fill>
    </dxf>
    <dxf>
      <fill>
        <patternFill>
          <bgColor theme="6"/>
        </patternFill>
      </fill>
    </dxf>
    <dxf>
      <font>
        <color rgb="FF7030A0"/>
      </font>
      <fill>
        <patternFill>
          <bgColor rgb="FF7030A0"/>
        </patternFill>
      </fill>
    </dxf>
    <dxf>
      <font>
        <color theme="8"/>
      </font>
      <fill>
        <patternFill>
          <bgColor theme="8"/>
        </patternFill>
      </fill>
    </dxf>
    <dxf>
      <font>
        <color theme="9"/>
      </font>
      <fill>
        <patternFill>
          <bgColor theme="9"/>
        </patternFill>
      </fill>
    </dxf>
    <dxf>
      <font>
        <color theme="3" tint="-0.499984740745262"/>
      </font>
      <fill>
        <patternFill>
          <bgColor theme="3" tint="-0.499984740745262"/>
        </patternFill>
      </fill>
    </dxf>
    <dxf>
      <font>
        <color theme="5"/>
      </font>
      <fill>
        <patternFill>
          <fgColor theme="5"/>
          <bgColor rgb="FF7030A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rgb="FFFF0000"/>
      </font>
    </dxf>
    <dxf>
      <font>
        <color rgb="FF7030A0"/>
      </font>
      <fill>
        <patternFill>
          <bgColor rgb="FF7030A0"/>
        </patternFill>
      </fill>
    </dxf>
    <dxf>
      <font>
        <color theme="8"/>
      </font>
      <fill>
        <patternFill>
          <bgColor theme="8"/>
        </patternFill>
      </fill>
    </dxf>
    <dxf>
      <font>
        <color theme="9"/>
      </font>
      <fill>
        <patternFill>
          <bgColor theme="9"/>
        </patternFill>
      </fill>
    </dxf>
    <dxf>
      <font>
        <color theme="3" tint="-0.499984740745262"/>
      </font>
      <fill>
        <patternFill>
          <bgColor theme="3" tint="-0.499984740745262"/>
        </patternFill>
      </fill>
    </dxf>
    <dxf>
      <font>
        <color theme="5" tint="-0.499984740745262"/>
      </font>
      <fill>
        <patternFill>
          <bgColor theme="5" tint="-0.499984740745262"/>
        </patternFill>
      </fill>
    </dxf>
    <dxf>
      <font>
        <color rgb="FF00B050"/>
      </font>
      <fill>
        <patternFill>
          <bgColor rgb="FF00B050"/>
        </patternFill>
      </fill>
    </dxf>
    <dxf>
      <font>
        <color rgb="FF7030A0"/>
      </font>
      <fill>
        <patternFill>
          <bgColor rgb="FF7030A0"/>
        </patternFill>
      </fill>
    </dxf>
    <dxf>
      <font>
        <color theme="8"/>
      </font>
      <fill>
        <patternFill>
          <bgColor theme="8"/>
        </patternFill>
      </fill>
    </dxf>
    <dxf>
      <font>
        <color theme="9"/>
      </font>
      <fill>
        <patternFill>
          <bgColor theme="9"/>
        </patternFill>
      </fill>
    </dxf>
    <dxf>
      <font>
        <color theme="3" tint="-0.499984740745262"/>
      </font>
      <fill>
        <patternFill>
          <bgColor theme="3" tint="-0.499984740745262"/>
        </patternFill>
      </fill>
    </dxf>
    <dxf>
      <font>
        <color theme="5" tint="-0.499984740745262"/>
      </font>
      <fill>
        <patternFill>
          <bgColor theme="5" tint="-0.499984740745262"/>
        </patternFill>
      </fill>
    </dxf>
    <dxf>
      <font>
        <color rgb="FF00B050"/>
      </font>
      <fill>
        <patternFill>
          <bgColor rgb="FF00B050"/>
        </patternFill>
      </fill>
    </dxf>
    <dxf>
      <font>
        <color rgb="FF7030A0"/>
      </font>
      <fill>
        <patternFill>
          <bgColor rgb="FF7030A0"/>
        </patternFill>
      </fill>
    </dxf>
    <dxf>
      <font>
        <color theme="8"/>
      </font>
      <fill>
        <patternFill>
          <bgColor theme="8"/>
        </patternFill>
      </fill>
    </dxf>
    <dxf>
      <font>
        <color theme="9"/>
      </font>
      <fill>
        <patternFill>
          <bgColor theme="9"/>
        </patternFill>
      </fill>
    </dxf>
    <dxf>
      <font>
        <color theme="3" tint="-0.499984740745262"/>
      </font>
      <fill>
        <patternFill>
          <bgColor theme="3" tint="-0.499984740745262"/>
        </patternFill>
      </fill>
    </dxf>
    <dxf>
      <font>
        <color theme="5" tint="-0.499984740745262"/>
      </font>
      <fill>
        <patternFill>
          <bgColor theme="5" tint="-0.499984740745262"/>
        </patternFill>
      </fill>
    </dxf>
    <dxf>
      <font>
        <color rgb="FF00B050"/>
      </font>
      <fill>
        <patternFill>
          <bgColor rgb="FF00B050"/>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zar, Paige (DRPT)" id="{A113714D-EF78-4739-854A-B8E27563291A}" userId="S::Paige.Lazar@drpt.virginia.gov::e94c36c9-bd70-40bd-834e-ecaef842054c" providerId="AD"/>
  <person displayName="Oware, Deanna (DRPT)" id="{59DC542A-F397-4B56-9F2E-23F0214A7067}" userId="S::deanna.oware@drpt.virginia.gov::ba2b3b6a-5257-455a-a4bf-6f554de8950e" providerId="AD"/>
  <person displayName="Stankus, Grace (DRPT)" id="{4391F4FC-6C62-4165-9172-974B69B47DF8}" userId="S::Grace.Stankus@drpt.virginia.gov::fa3f1947-1c87-4ab2-be98-d27d63021bc9" providerId="AD"/>
  <person displayName="Sonenklar, Daniel (DRPT)" id="{91E3EAD6-5091-4DEE-9D22-5B5191884336}" userId="S::Daniel.Sonenklar@drpt.virginia.gov::d6f481ed-ad39-4e2c-b444-88caac57196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8" dT="2025-02-20T16:51:54.43" personId="{4391F4FC-6C62-4165-9172-974B69B47DF8}" id="{DC34777D-DEFD-46E4-9FAE-FCB4FD55D3BD}">
    <text>Added paratransit to CATs figures for FY21-FY24.</text>
  </threadedComment>
  <threadedComment ref="C8" dT="2025-02-24T18:44:12.58" personId="{91E3EAD6-5091-4DEE-9D22-5B5191884336}" id="{C5A1902C-690E-405A-978B-19E345CF9892}">
    <text>Added paratransit to CATs figures for FY21-FY24.</text>
  </threadedComment>
  <threadedComment ref="D8" dT="2025-02-24T18:44:20.93" personId="{91E3EAD6-5091-4DEE-9D22-5B5191884336}" id="{BD470838-FDB5-4FC9-BA97-72255382F651}">
    <text>Added paratransit to CATs figures for FY21-FY24.</text>
  </threadedComment>
  <threadedComment ref="E8" dT="2025-02-24T18:44:24.77" personId="{91E3EAD6-5091-4DEE-9D22-5B5191884336}" id="{9B731231-75E0-486F-B2CB-D6CA8AFEF881}">
    <text>Added paratransit to CATs figures for FY21-FY24.</text>
  </threadedComment>
  <threadedComment ref="D25" dT="2025-02-20T16:48:24.53" personId="{4391F4FC-6C62-4165-9172-974B69B47DF8}" id="{6BD4884C-0F9E-48D3-B614-C72F71E50B1A}">
    <text>Updated this figure.</text>
  </threadedComment>
  <threadedComment ref="D25" dT="2025-02-24T18:44:43.51" personId="{91E3EAD6-5091-4DEE-9D22-5B5191884336}" id="{226AE03B-5BBB-420C-B6D6-7C52437EFD66}" parentId="{6BD4884C-0F9E-48D3-B614-C72F71E50B1A}">
    <text>To reflect PRTC requested changes to FY23 reporting.</text>
  </threadedComment>
  <threadedComment ref="B37" dT="2025-02-20T16:47:28.55" personId="{4391F4FC-6C62-4165-9172-974B69B47DF8}" id="{158BB771-DE19-4A33-AA6C-CFBDF44627D5}">
    <text>Removed paratransit from Jaunts figures for FY21-FY24.</text>
  </threadedComment>
  <threadedComment ref="C37" dT="2025-02-24T18:45:32.06" personId="{91E3EAD6-5091-4DEE-9D22-5B5191884336}" id="{0A130C15-8DCB-4445-B861-B3FB9A5DCF2A}">
    <text>Removed paratransit from Jaunts figures for FY21-FY24.</text>
  </threadedComment>
  <threadedComment ref="D37" dT="2025-02-24T18:45:37.06" personId="{91E3EAD6-5091-4DEE-9D22-5B5191884336}" id="{230DC8E0-DA0C-4007-A7EC-A63297B23D67}">
    <text>Removed paratransit from Jaunts figures for FY21-FY24.</text>
  </threadedComment>
  <threadedComment ref="E37" dT="2025-02-24T18:45:40.90" personId="{91E3EAD6-5091-4DEE-9D22-5B5191884336}" id="{897712A0-A987-47B2-A8B7-52625D2224DF}">
    <text>Removed paratransit from Jaunts figures for FY21-FY24.</text>
  </threadedComment>
  <threadedComment ref="D40" dT="2024-01-17T20:06:32.03" personId="{91E3EAD6-5091-4DEE-9D22-5B5191884336}" id="{A45C6B1D-3350-4C5E-AAA3-5C7DC6DD65EE}">
    <text>Combined VRT and NSVRC (ShenGo Demo) reported figures.</text>
  </threadedComment>
</ThreadedComments>
</file>

<file path=xl/threadedComments/threadedComment10.xml><?xml version="1.0" encoding="utf-8"?>
<ThreadedComments xmlns="http://schemas.microsoft.com/office/spreadsheetml/2018/threadedcomments" xmlns:x="http://schemas.openxmlformats.org/spreadsheetml/2006/main">
  <threadedComment ref="C21" dT="2023-02-13T15:22:46.58" personId="{91E3EAD6-5091-4DEE-9D22-5B5191884336}" id="{7DA4D8B5-7D1D-4689-B9BD-CB1CDD55208B}">
    <text>Used values included in FY23 SYIP</text>
  </threadedComment>
  <threadedComment ref="D21" dT="2023-02-13T15:22:52.33" personId="{91E3EAD6-5091-4DEE-9D22-5B5191884336}" id="{290B89AC-714F-4D35-8BA7-B0EC44B089C0}">
    <text>Used values included in FY23 SYIP</text>
  </threadedComment>
  <threadedComment ref="E21" dT="2023-02-13T19:40:16.42" personId="{91E3EAD6-5091-4DEE-9D22-5B5191884336}" id="{E12C00E2-FD37-4C80-B16C-03BBDB0DC708}">
    <text>Added deadhead for uni-directional commuter routes &gt;20</text>
  </threadedComment>
  <threadedComment ref="E21" dT="2023-02-13T19:40:40.42" personId="{91E3EAD6-5091-4DEE-9D22-5B5191884336}" id="{722B72AB-0B88-4874-8A4F-51F6D64E8A2D}" parentId="{E12C00E2-FD37-4C80-B16C-03BBDB0DC708}">
    <text>+320,678.5</text>
  </threadedComment>
  <threadedComment ref="F21" dT="2023-02-13T19:40:23.85" personId="{91E3EAD6-5091-4DEE-9D22-5B5191884336}" id="{D9777348-8CCE-4690-AF49-E1F90A69079D}">
    <text>Added deadhead for uni-directional commuter routes &gt;20</text>
  </threadedComment>
  <threadedComment ref="F21" dT="2023-02-13T19:40:57.02" personId="{91E3EAD6-5091-4DEE-9D22-5B5191884336}" id="{89A77147-642E-4C9C-B8AC-B0BA3A062B56}" parentId="{D9777348-8CCE-4690-AF49-E1F90A69079D}">
    <text>+427962.5</text>
  </threadedComment>
  <threadedComment ref="C25" dT="2023-02-13T15:20:42.76" personId="{91E3EAD6-5091-4DEE-9D22-5B5191884336}" id="{09A40F21-AF48-4619-9C19-87244D0A5DFF}">
    <text>Used values included in FY23 SYIP</text>
  </threadedComment>
  <threadedComment ref="D25" dT="2023-02-13T15:20:57.24" personId="{91E3EAD6-5091-4DEE-9D22-5B5191884336}" id="{5E9A74BA-CFB5-4399-9C2A-EEFD6545D3B7}">
    <text>Used values included in FY23 SYIP</text>
  </threadedComment>
  <threadedComment ref="E25" dT="2023-02-09T19:57:02.46" personId="{91E3EAD6-5091-4DEE-9D22-5B5191884336}" id="{A4AFBB3F-A21F-45F0-8056-685AFB0412CB}">
    <text>Added deadhead for uni-directional commuter routes &gt;20</text>
  </threadedComment>
  <threadedComment ref="E25" dT="2023-02-09T19:58:39.61" personId="{91E3EAD6-5091-4DEE-9D22-5B5191884336}" id="{E3E2AF99-7476-476A-B43F-AB7F9A92E70F}" parentId="{A4AFBB3F-A21F-45F0-8056-685AFB0412CB}">
    <text>+70,604</text>
  </threadedComment>
  <threadedComment ref="F25" dT="2023-02-09T19:57:18.06" personId="{91E3EAD6-5091-4DEE-9D22-5B5191884336}" id="{A6EDF4F5-611E-469A-AAD3-919A3E0C3C7E}">
    <text>Added deadhead for uni-directional commuter routes &gt;20</text>
  </threadedComment>
  <threadedComment ref="F25" dT="2023-02-09T19:58:47.69" personId="{91E3EAD6-5091-4DEE-9D22-5B5191884336}" id="{E5210265-53A0-4B70-B9E5-94178C040F56}" parentId="{A6EDF4F5-611E-469A-AAD3-919A3E0C3C7E}">
    <text>+85,445</text>
  </threadedComment>
  <threadedComment ref="C27" dT="2023-02-13T15:21:22.01" personId="{91E3EAD6-5091-4DEE-9D22-5B5191884336}" id="{E0B3AD88-707F-42F1-AFE6-AC595BCC4A94}">
    <text>Used values included in FY23 SYIP</text>
  </threadedComment>
  <threadedComment ref="D27" dT="2023-02-13T15:21:28.23" personId="{91E3EAD6-5091-4DEE-9D22-5B5191884336}" id="{EB397A8F-67BA-49B7-81E2-F2AAA6B8726E}">
    <text>Used values included in FY23 SYIP</text>
  </threadedComment>
  <threadedComment ref="E27" dT="2023-02-09T20:01:43.66" personId="{91E3EAD6-5091-4DEE-9D22-5B5191884336}" id="{30174FAA-EAC5-4D56-9ADE-4B72FAC89B9B}">
    <text>No data provided for deadhead for unidirectional commuter service &gt;20mi</text>
  </threadedComment>
  <threadedComment ref="E27" dT="2023-02-09T20:02:04.88" personId="{91E3EAD6-5091-4DEE-9D22-5B5191884336}" id="{192B1B82-4167-4386-A414-36EA0390F0EF}" parentId="{30174FAA-EAC5-4D56-9ADE-4B72FAC89B9B}">
    <text>Assumed 58% increase based on FY2022 value</text>
  </threadedComment>
  <threadedComment ref="F27" dT="2023-02-09T20:00:32.50" personId="{91E3EAD6-5091-4DEE-9D22-5B5191884336}" id="{02A207B2-87C5-41BE-BD3E-0DCDEF342FCF}">
    <text>Added deadhead for uni-directional communter routes &gt;20mi</text>
  </threadedComment>
  <threadedComment ref="F27" dT="2023-02-09T20:00:39.23" personId="{91E3EAD6-5091-4DEE-9D22-5B5191884336}" id="{2474DCB2-319A-4A6C-B7CC-5BB615CAF76A}" parentId="{02A207B2-87C5-41BE-BD3E-0DCDEF342FCF}">
    <text>+1,905,553</text>
  </threadedComment>
  <threadedComment ref="C39" dT="2023-02-13T15:24:21.93" personId="{91E3EAD6-5091-4DEE-9D22-5B5191884336}" id="{9892CA20-C0CE-4239-BAA4-E34BE9F4BBC8}">
    <text>Added Green Co. Miles: 348,660</text>
  </threadedComment>
  <threadedComment ref="D39" dT="2023-02-13T15:24:43.03" personId="{91E3EAD6-5091-4DEE-9D22-5B5191884336}" id="{F99556AA-C4DB-4AB9-A9CC-9F3DEF13276E}">
    <text>Carried forward figure from FY21 SYIP (and FY22 and FY23). This figure was reduced from 1,738,303 (with reported miles + Green Co. miles) based on an audit on 12/14/21.</text>
  </threadedComment>
  <threadedComment ref="D39" dT="2023-02-13T15:29:36.51" personId="{91E3EAD6-5091-4DEE-9D22-5B5191884336}" id="{A7B4A4C2-4714-406D-ACB3-08ADD9FF41C7}" parentId="{F99556AA-C4DB-4AB9-A9CC-9F3DEF13276E}">
    <text>Note: This figure would have been significantly higher than what was provided in FY21 (and carried forward in FY22 and 23). The FY21 number was reduced based on an audit. The different this figure will make in the overall allocation is negligible, but I wanted to flag it.</text>
  </threadedComment>
</ThreadedComments>
</file>

<file path=xl/threadedComments/threadedComment2.xml><?xml version="1.0" encoding="utf-8"?>
<ThreadedComments xmlns="http://schemas.microsoft.com/office/spreadsheetml/2018/threadedcomments" xmlns:x="http://schemas.openxmlformats.org/spreadsheetml/2006/main">
  <threadedComment ref="B8" dT="2025-02-20T16:51:01.74" personId="{4391F4FC-6C62-4165-9172-974B69B47DF8}" id="{A94E7289-4BE6-4654-B864-86A274B6C453}">
    <text>Added paratransit to CATs figures for FY21-FY24.</text>
  </threadedComment>
  <threadedComment ref="C8" dT="2025-02-24T18:43:53.78" personId="{91E3EAD6-5091-4DEE-9D22-5B5191884336}" id="{77FA3178-324A-47D9-B9E6-70B9B5A80835}">
    <text>Added paratransit to CATs figures for FY21-FY24.</text>
  </threadedComment>
  <threadedComment ref="D8" dT="2025-02-24T18:43:58.32" personId="{91E3EAD6-5091-4DEE-9D22-5B5191884336}" id="{414AA6B1-62B6-4223-8069-F187CF5AB749}">
    <text>Added paratransit to CATs figures for FY21-FY24.</text>
  </threadedComment>
  <threadedComment ref="E8" dT="2025-02-24T18:44:03.54" personId="{91E3EAD6-5091-4DEE-9D22-5B5191884336}" id="{5FB828E3-2283-472C-8663-D93497CCADD0}">
    <text>Added paratransit to CATs figures for FY21-FY24.</text>
  </threadedComment>
  <threadedComment ref="B20" dT="2023-02-13T19:41:10.73" personId="{91E3EAD6-5091-4DEE-9D22-5B5191884336}" id="{F68BABF9-26C4-48DB-A175-2A9CB472BB28}">
    <text>Added deadhead for uni-directional commuter routes &gt;20</text>
  </threadedComment>
  <threadedComment ref="B20" dT="2023-02-13T19:41:18.56" personId="{91E3EAD6-5091-4DEE-9D22-5B5191884336}" id="{14CC81B4-63ED-4323-89F6-AC84738E9167}" parentId="{F68BABF9-26C4-48DB-A175-2A9CB472BB28}">
    <text>+8,535</text>
  </threadedComment>
  <threadedComment ref="C20" dT="2023-02-13T19:41:24.79" personId="{91E3EAD6-5091-4DEE-9D22-5B5191884336}" id="{9074C508-C0C6-485E-A740-C0F767CA690B}">
    <text>Added deadhead for uni-directional commuter routes &gt;20</text>
  </threadedComment>
  <threadedComment ref="C20" dT="2023-02-13T19:41:33.57" personId="{91E3EAD6-5091-4DEE-9D22-5B5191884336}" id="{AFE6C317-202D-422B-BEA3-67ACFE9D3F20}" parentId="{9074C508-C0C6-485E-A740-C0F767CA690B}">
    <text>+10,112</text>
  </threadedComment>
  <threadedComment ref="D20" dT="2024-02-05T15:33:06.12" personId="{A113714D-EF78-4739-854A-B8E27563291A}" id="{A293055A-AA42-474E-962D-C1D66D731184}">
    <text>Added deadhead for uni-directional commuter routes &gt; 20 mi</text>
  </threadedComment>
  <threadedComment ref="D20" dT="2024-02-05T15:33:23.77" personId="{A113714D-EF78-4739-854A-B8E27563291A}" id="{C353855E-8429-4E26-8416-CD643F5D6FF9}" parentId="{A293055A-AA42-474E-962D-C1D66D731184}">
    <text>+10,206</text>
  </threadedComment>
  <threadedComment ref="E20" dT="2025-02-12T15:31:34.40" personId="{A113714D-EF78-4739-854A-B8E27563291A}" id="{9C3F345C-01DA-4693-8C45-427A3909B22F}">
    <text>Added deadhead for uni-directional commuter routes &gt; 20 mi</text>
  </threadedComment>
  <threadedComment ref="E20" dT="2025-02-12T15:31:44.52" personId="{A113714D-EF78-4739-854A-B8E27563291A}" id="{87E1AC88-CDAE-49BE-B3A7-F255FC7B9DCA}" parentId="{9C3F345C-01DA-4693-8C45-427A3909B22F}">
    <text xml:space="preserve">+ 12,922.92 </text>
  </threadedComment>
  <threadedComment ref="B24" dT="2023-02-09T19:57:27.48" personId="{91E3EAD6-5091-4DEE-9D22-5B5191884336}" id="{1CC202D1-F544-4BD2-A217-E4707836D1AF}">
    <text>Added deadhead for uni-directional commuter routes &gt;20</text>
  </threadedComment>
  <threadedComment ref="B24" dT="2023-02-09T19:57:57.90" personId="{91E3EAD6-5091-4DEE-9D22-5B5191884336}" id="{2E44A0AB-AD23-4424-85B0-73BD23F1A0C0}" parentId="{1CC202D1-F544-4BD2-A217-E4707836D1AF}">
    <text>+2087</text>
  </threadedComment>
  <threadedComment ref="C24" dT="2023-02-09T19:57:33.06" personId="{91E3EAD6-5091-4DEE-9D22-5B5191884336}" id="{64CA4BFF-657F-47F9-BA79-B7CD7F1D43E1}">
    <text>Added deadhead for uni-directional commuter routes &gt;20</text>
  </threadedComment>
  <threadedComment ref="C24" dT="2023-02-09T19:58:09.27" personId="{91E3EAD6-5091-4DEE-9D22-5B5191884336}" id="{DC38F7BA-EE58-4B68-8C28-37547AC336BB}" parentId="{64CA4BFF-657F-47F9-BA79-B7CD7F1D43E1}">
    <text>+2521</text>
  </threadedComment>
  <threadedComment ref="B25" dT="2023-02-10T22:08:18.19" personId="{91E3EAD6-5091-4DEE-9D22-5B5191884336}" id="{5DC3E0A7-5F7F-4F3F-B0E5-A065820399CC}">
    <text>Added deadhead for uni-directional communter routes &gt;20mi</text>
  </threadedComment>
  <threadedComment ref="B25" dT="2023-02-10T22:08:31.38" personId="{91E3EAD6-5091-4DEE-9D22-5B5191884336}" id="{17F27F0C-67CC-430F-8F86-509C18DFDC67}" parentId="{5DC3E0A7-5F7F-4F3F-B0E5-A065820399CC}">
    <text>Assumed 49% increase based on FY2022 value</text>
  </threadedComment>
  <threadedComment ref="C25" dT="2023-02-10T22:07:44.22" personId="{91E3EAD6-5091-4DEE-9D22-5B5191884336}" id="{20BD1786-909A-41FD-A464-8A7023385CE5}">
    <text>Added deadhead for uni-directional communter routes &gt;20mi</text>
  </threadedComment>
  <threadedComment ref="C25" dT="2023-02-10T22:08:47.36" personId="{91E3EAD6-5091-4DEE-9D22-5B5191884336}" id="{142DFDB7-D94E-4A98-B747-0A963E587D19}" parentId="{20BD1786-909A-41FD-A464-8A7023385CE5}">
    <text>+71,220</text>
  </threadedComment>
  <threadedComment ref="D25" dT="2024-02-05T15:34:55.40" personId="{A113714D-EF78-4739-854A-B8E27563291A}" id="{7D95E41F-B2E0-4E81-B7BA-0496863050D1}">
    <text>Added deadhead for uni-directional commuter routes &gt; 20 mi</text>
  </threadedComment>
  <threadedComment ref="D25" dT="2024-02-05T15:35:04.79" personId="{A113714D-EF78-4739-854A-B8E27563291A}" id="{4979B07B-F13A-45FE-8568-9F7327AC0295}" parentId="{7D95E41F-B2E0-4E81-B7BA-0496863050D1}">
    <text>+57,989</text>
  </threadedComment>
  <threadedComment ref="E25" dT="2025-02-06T19:06:58.50" personId="{A113714D-EF78-4739-854A-B8E27563291A}" id="{941D3CDC-1B06-441A-B409-F693F1052815}">
    <text>Added deadhead for uni-directional commuter routes &gt; 20 mi</text>
  </threadedComment>
  <threadedComment ref="E25" dT="2025-02-06T19:07:11.69" personId="{A113714D-EF78-4739-854A-B8E27563291A}" id="{4DE88B1B-C935-4C07-ADA8-3041BF3BF10E}" parentId="{941D3CDC-1B06-441A-B409-F693F1052815}">
    <text>+ 62,202</text>
  </threadedComment>
  <threadedComment ref="D27" dT="2024-02-12T18:19:34.15" personId="{A113714D-EF78-4739-854A-B8E27563291A}" id="{CDAB2D81-9FB2-46D5-817F-C8812729E4BC}">
    <text>Added deadhead for uni-directional commuter routes &gt; 20 mi</text>
  </threadedComment>
  <threadedComment ref="D27" dT="2024-02-12T18:19:46.97" personId="{A113714D-EF78-4739-854A-B8E27563291A}" id="{A1B5E6EF-CBB1-4FE4-A28D-1802D3CD83E6}" parentId="{CDAB2D81-9FB2-46D5-817F-C8812729E4BC}">
    <text>+1,652</text>
  </threadedComment>
  <threadedComment ref="E27" dT="2025-02-06T19:07:55.89" personId="{A113714D-EF78-4739-854A-B8E27563291A}" id="{A42BADB7-8503-44EB-AB55-B5380385B015}">
    <text>Added deadhead for uni-directional commuter routes &gt; 20 mi</text>
  </threadedComment>
  <threadedComment ref="E27" dT="2025-02-06T19:08:02.15" personId="{A113714D-EF78-4739-854A-B8E27563291A}" id="{94DC99F2-1494-4FAF-9AFA-8FBF5D0C1423}" parentId="{A42BADB7-8503-44EB-AB55-B5380385B015}">
    <text>+2,457</text>
  </threadedComment>
  <threadedComment ref="B37" dT="2025-02-20T16:47:38.35" personId="{4391F4FC-6C62-4165-9172-974B69B47DF8}" id="{B70F7576-CFB1-4267-9E72-38C2FBDB5D5E}">
    <text>Removed paratransit from Jaunts figures for FY21-FY24.</text>
  </threadedComment>
  <threadedComment ref="C37" dT="2025-02-24T18:45:50.03" personId="{91E3EAD6-5091-4DEE-9D22-5B5191884336}" id="{9CD3CD76-DAD6-4ED9-8187-47CFED7615B5}">
    <text>Removed paratransit from Jaunts figures for FY21-FY24.</text>
  </threadedComment>
  <threadedComment ref="D37" dT="2025-02-24T18:45:53.28" personId="{91E3EAD6-5091-4DEE-9D22-5B5191884336}" id="{C7B3D611-9156-444F-BB7D-FDB08F3C45F1}">
    <text>Removed paratransit from Jaunts figures for FY21-FY24.</text>
  </threadedComment>
  <threadedComment ref="E37" dT="2025-02-24T18:45:56.56" personId="{91E3EAD6-5091-4DEE-9D22-5B5191884336}" id="{88966832-3695-4F69-8A01-C695E2C91420}">
    <text>Removed paratransit from Jaunts figures for FY21-FY24.</text>
  </threadedComment>
  <threadedComment ref="D40" dT="2024-01-17T20:06:14.97" personId="{91E3EAD6-5091-4DEE-9D22-5B5191884336}" id="{27EEB3C3-1305-4DDD-8964-CF3C6A5C07EE}">
    <text>Combined VRT and NSVRC (ShenGo Demo) reported figures.</text>
  </threadedComment>
</ThreadedComments>
</file>

<file path=xl/threadedComments/threadedComment3.xml><?xml version="1.0" encoding="utf-8"?>
<ThreadedComments xmlns="http://schemas.microsoft.com/office/spreadsheetml/2018/threadedcomments" xmlns:x="http://schemas.openxmlformats.org/spreadsheetml/2006/main">
  <threadedComment ref="B8" dT="2025-02-20T16:52:03.50" personId="{4391F4FC-6C62-4165-9172-974B69B47DF8}" id="{71E5E45E-2117-4FA6-AFF2-44F79113BFC5}">
    <text>Added paratransit to CATs figures for FY21-FY24.</text>
  </threadedComment>
  <threadedComment ref="C8" dT="2025-02-24T18:43:26.67" personId="{91E3EAD6-5091-4DEE-9D22-5B5191884336}" id="{4CB0FBED-090B-4E35-B89F-61872953A2A4}">
    <text>Added paratransit to CATs figures for FY21-FY24.</text>
  </threadedComment>
  <threadedComment ref="D8" dT="2025-02-24T18:43:34.26" personId="{91E3EAD6-5091-4DEE-9D22-5B5191884336}" id="{B4B2129C-8416-4C7C-AEE4-C7DF31C8BF46}">
    <text>Added paratransit to CATs figures for FY21-FY24.</text>
  </threadedComment>
  <threadedComment ref="E8" dT="2025-02-24T18:43:40.53" personId="{91E3EAD6-5091-4DEE-9D22-5B5191884336}" id="{ECF50410-55C0-445B-BE4C-E04D61502B94}">
    <text>Added paratransit to CATs figures for FY21-FY24.</text>
  </threadedComment>
  <threadedComment ref="B20" dT="2023-02-13T19:40:16.42" personId="{91E3EAD6-5091-4DEE-9D22-5B5191884336}" id="{F74EEB0F-92C1-4CDB-9D25-02FC705D3CDF}">
    <text>Added deadhead for uni-directional commuter routes &gt;20</text>
  </threadedComment>
  <threadedComment ref="B20" dT="2023-02-13T19:40:40.42" personId="{91E3EAD6-5091-4DEE-9D22-5B5191884336}" id="{BAF8E13F-DF3D-41A6-8482-7852E5E20A77}" parentId="{F74EEB0F-92C1-4CDB-9D25-02FC705D3CDF}">
    <text>+320,678.5</text>
  </threadedComment>
  <threadedComment ref="C20" dT="2023-02-13T19:40:23.85" personId="{91E3EAD6-5091-4DEE-9D22-5B5191884336}" id="{75931F0B-7808-4A13-A7FB-8BC48ABBCB6C}">
    <text>Added deadhead for uni-directional commuter routes &gt;20</text>
  </threadedComment>
  <threadedComment ref="C20" dT="2023-02-13T19:40:57.02" personId="{91E3EAD6-5091-4DEE-9D22-5B5191884336}" id="{0394F8BA-2AB7-427C-A0F3-9792A10F2BD5}" parentId="{75931F0B-7808-4A13-A7FB-8BC48ABBCB6C}">
    <text>+427962.5</text>
  </threadedComment>
  <threadedComment ref="D20" dT="2024-02-05T15:36:08.54" personId="{A113714D-EF78-4739-854A-B8E27563291A}" id="{C218CCF8-FEC0-440A-8D33-AB487A2112B8}">
    <text>Added deadhead for uni-directional commuter routes &gt; 20 mi</text>
  </threadedComment>
  <threadedComment ref="D20" dT="2024-02-05T15:36:32.01" personId="{A113714D-EF78-4739-854A-B8E27563291A}" id="{D7939C5B-33C3-4646-82D4-2217C2C6F69B}" parentId="{C218CCF8-FEC0-440A-8D33-AB487A2112B8}">
    <text>+ 501,367</text>
  </threadedComment>
  <threadedComment ref="E20" dT="2025-02-12T15:30:27.90" personId="{A113714D-EF78-4739-854A-B8E27563291A}" id="{A1DA6286-6D19-4909-A86B-DEDC016CFFB2}">
    <text>Added deadhead for uni-directional commuter routes &gt; 20 mi</text>
  </threadedComment>
  <threadedComment ref="E20" dT="2025-02-12T15:30:39.72" personId="{A113714D-EF78-4739-854A-B8E27563291A}" id="{89FA53C9-6BBE-4E82-8CBB-00B5C3F0DCBF}" parentId="{A1DA6286-6D19-4909-A86B-DEDC016CFFB2}">
    <text xml:space="preserve">+ 587,607 </text>
  </threadedComment>
  <threadedComment ref="B24" dT="2023-02-09T19:57:02.46" personId="{91E3EAD6-5091-4DEE-9D22-5B5191884336}" id="{17A99FFB-6488-4583-BC95-50E09007596E}">
    <text>Added deadhead for uni-directional commuter routes &gt;20</text>
  </threadedComment>
  <threadedComment ref="B24" dT="2023-02-09T19:58:39.61" personId="{91E3EAD6-5091-4DEE-9D22-5B5191884336}" id="{7FEBF9F7-4853-400E-B106-E3464CCA400A}" parentId="{17A99FFB-6488-4583-BC95-50E09007596E}">
    <text>+70,604</text>
  </threadedComment>
  <threadedComment ref="C24" dT="2023-02-09T19:57:18.06" personId="{91E3EAD6-5091-4DEE-9D22-5B5191884336}" id="{704D1880-5D42-4617-96EB-0ECAC0BCEDC9}">
    <text>Added deadhead for uni-directional commuter routes &gt;20</text>
  </threadedComment>
  <threadedComment ref="C24" dT="2023-02-09T19:58:47.69" personId="{91E3EAD6-5091-4DEE-9D22-5B5191884336}" id="{094F92BA-0004-44A1-AEA7-831E5B4649EF}" parentId="{704D1880-5D42-4617-96EB-0ECAC0BCEDC9}">
    <text>+85,445</text>
  </threadedComment>
  <threadedComment ref="B25" dT="2023-02-09T20:01:43.66" personId="{91E3EAD6-5091-4DEE-9D22-5B5191884336}" id="{A64E9BB3-84BF-489B-B8CE-03AF22A08482}">
    <text>No data provided for deadhead for unidirectional commuter service &gt;20mi</text>
  </threadedComment>
  <threadedComment ref="B25" dT="2023-02-09T20:02:04.88" personId="{91E3EAD6-5091-4DEE-9D22-5B5191884336}" id="{5AD9768E-F8BC-4063-BAC2-833FBDD2F5EB}" parentId="{A64E9BB3-84BF-489B-B8CE-03AF22A08482}">
    <text>Assumed 58% increase based on FY2022 value</text>
  </threadedComment>
  <threadedComment ref="C25" dT="2023-02-09T20:00:32.50" personId="{91E3EAD6-5091-4DEE-9D22-5B5191884336}" id="{E1079B80-F7D0-41FA-922B-2D5B4CD4043E}">
    <text>Added deadhead for uni-directional communter routes &gt;20mi</text>
  </threadedComment>
  <threadedComment ref="C25" dT="2023-02-09T20:00:39.23" personId="{91E3EAD6-5091-4DEE-9D22-5B5191884336}" id="{13512F1E-7345-4D66-92D9-88A9E95AD582}" parentId="{E1079B80-F7D0-41FA-922B-2D5B4CD4043E}">
    <text>+1,905,553</text>
  </threadedComment>
  <threadedComment ref="D25" dT="2024-02-05T15:36:12.74" personId="{A113714D-EF78-4739-854A-B8E27563291A}" id="{911E31A7-D581-48E9-BE8A-40056D2A2992}">
    <text>Added deadhead for uni-directional commuter routes &gt; 20 mi</text>
  </threadedComment>
  <threadedComment ref="D25" dT="2024-02-05T15:37:05.02" personId="{A113714D-EF78-4739-854A-B8E27563291A}" id="{1757E3F3-3F93-4A11-9E42-2070413EF059}" parentId="{911E31A7-D581-48E9-BE8A-40056D2A2992}">
    <text>+1,784,701</text>
  </threadedComment>
  <threadedComment ref="E25" dT="2025-02-06T19:09:09.87" personId="{A113714D-EF78-4739-854A-B8E27563291A}" id="{5078DE4F-09E6-435F-85E2-45BC5BBBB31B}">
    <text>Added deadhead for uni-directional commuter routes &gt; 20 mi</text>
  </threadedComment>
  <threadedComment ref="E25" dT="2025-02-06T19:09:30.69" personId="{A113714D-EF78-4739-854A-B8E27563291A}" id="{D2496B6B-DA33-4256-9DE3-BDD28FC44301}" parentId="{5078DE4F-09E6-435F-85E2-45BC5BBBB31B}">
    <text>+ 1,922,948</text>
  </threadedComment>
  <threadedComment ref="D27" dT="2024-02-09T21:25:51.08" personId="{A113714D-EF78-4739-854A-B8E27563291A}" id="{C5109E26-FCF0-4A38-AB19-A70287521CD2}">
    <text>Added deadhead for uni-directional commuter routes &gt; 20 mi</text>
  </threadedComment>
  <threadedComment ref="D27" dT="2024-02-09T21:26:05.31" personId="{A113714D-EF78-4739-854A-B8E27563291A}" id="{B5601A88-FA5B-4C15-814F-CF0586D29672}" parentId="{C5109E26-FCF0-4A38-AB19-A70287521CD2}">
    <text xml:space="preserve">+34,410 </text>
  </threadedComment>
  <threadedComment ref="E27" dT="2025-02-06T19:09:17.87" personId="{A113714D-EF78-4739-854A-B8E27563291A}" id="{31FAB7D5-76AE-4619-9939-B469A82B54EE}">
    <text>Added deadhead for uni-directional commuter routes &gt; 20 mi</text>
  </threadedComment>
  <threadedComment ref="E27" dT="2025-02-06T19:10:06.59" personId="{A113714D-EF78-4739-854A-B8E27563291A}" id="{0307A082-D0D6-42BB-AD69-137BFFC90484}" parentId="{31FAB7D5-76AE-4619-9939-B469A82B54EE}">
    <text>+60,554</text>
  </threadedComment>
  <threadedComment ref="B37" dT="2025-02-20T16:47:47.66" personId="{4391F4FC-6C62-4165-9172-974B69B47DF8}" id="{89CF4387-5549-4D13-87E2-E76111E17ED7}">
    <text>Removed paratransit from Jaunts figures for FY21-FY24.</text>
  </threadedComment>
  <threadedComment ref="C37" dT="2025-02-24T18:46:05.78" personId="{91E3EAD6-5091-4DEE-9D22-5B5191884336}" id="{7D26ADA7-EC16-49D7-A58E-9BF8B59B3C2E}">
    <text>Removed paratransit from Jaunts figures for FY21-FY24.</text>
  </threadedComment>
  <threadedComment ref="D37" dT="2025-02-24T18:46:09.50" personId="{91E3EAD6-5091-4DEE-9D22-5B5191884336}" id="{933231E2-DAB7-4C54-8CC4-EF60EFB9639F}">
    <text>Removed paratransit from Jaunts figures for FY21-FY24.</text>
  </threadedComment>
  <threadedComment ref="E37" dT="2025-02-24T18:46:13.07" personId="{91E3EAD6-5091-4DEE-9D22-5B5191884336}" id="{5398DE9E-0D8C-4AA0-B4DB-6CC0BC8C2A33}">
    <text>Removed paratransit from Jaunts figures for FY21-FY24.</text>
  </threadedComment>
  <threadedComment ref="D40" dT="2024-01-17T20:06:07.84" personId="{91E3EAD6-5091-4DEE-9D22-5B5191884336}" id="{0FD60303-7A70-4810-864F-C74FD0051789}">
    <text>Combined VRT and NSVRC (ShenGo Demo) reported figures.</text>
  </threadedComment>
</ThreadedComments>
</file>

<file path=xl/threadedComments/threadedComment4.xml><?xml version="1.0" encoding="utf-8"?>
<ThreadedComments xmlns="http://schemas.microsoft.com/office/spreadsheetml/2018/threadedcomments" xmlns:x="http://schemas.openxmlformats.org/spreadsheetml/2006/main">
  <threadedComment ref="B8" dT="2025-03-06T21:36:26.25" personId="{59DC542A-F397-4B56-9F2E-23F0214A7067}" id="{E1B226E7-1AC3-4A71-B422-04B52CB89758}">
    <text>Revised 03/06/25.  Includes Jaunt Urban amount.</text>
  </threadedComment>
  <threadedComment ref="C8" dT="2025-03-06T21:36:48.54" personId="{59DC542A-F397-4B56-9F2E-23F0214A7067}" id="{EBADA2E9-434E-4F01-9ADC-F89A91AF444A}">
    <text>Revised 3/6/2025.  Includes Jaunt Urban.</text>
  </threadedComment>
  <threadedComment ref="D8" dT="2025-03-06T21:37:06.79" personId="{59DC542A-F397-4B56-9F2E-23F0214A7067}" id="{C3BD487C-DC58-449E-9D08-66C33C47B715}">
    <text>Revised 3/6/2025. Includes Jaunt Urban.</text>
  </threadedComment>
  <threadedComment ref="C37" dT="2025-03-06T21:38:03.89" personId="{59DC542A-F397-4B56-9F2E-23F0214A7067}" id="{53035F4B-371E-4A03-BC4A-1E7DBBD2B6D0}">
    <text>Revised 3/6/2025.  Removes JAUNT Urban.</text>
  </threadedComment>
  <threadedComment ref="D37" dT="2025-03-06T21:38:23.23" personId="{59DC542A-F397-4B56-9F2E-23F0214A7067}" id="{6F18292E-E031-4B47-A49E-9CF7E9C34E0F}">
    <text>Revised 3/6/2025.  Removes JAUNT Urban.</text>
  </threadedComment>
</ThreadedComments>
</file>

<file path=xl/threadedComments/threadedComment5.xml><?xml version="1.0" encoding="utf-8"?>
<ThreadedComments xmlns="http://schemas.microsoft.com/office/spreadsheetml/2018/threadedcomments" xmlns:x="http://schemas.openxmlformats.org/spreadsheetml/2006/main">
  <threadedComment ref="B39" dT="2023-02-13T20:02:51.63" personId="{91E3EAD6-5091-4DEE-9D22-5B5191884336}" id="{51CE0BBA-DE82-43D0-BDC6-B7433C580252}">
    <text>Carried forward figure from FY21 SYIP (and FY22 and FY23). This figure was reduced from 319,254 (with reported ridership + Green Co. ridership) based on an audit on 12/14/21.</text>
  </threadedComment>
  <threadedComment ref="E42" dT="2024-01-17T20:06:32.03" personId="{91E3EAD6-5091-4DEE-9D22-5B5191884336}" id="{4F10C27E-1C76-438E-B9A3-8E496D87FB14}">
    <text>Combined VRT and NSVRC (ShenGo Demo) reported figures.</text>
  </threadedComment>
</ThreadedComments>
</file>

<file path=xl/threadedComments/threadedComment6.xml><?xml version="1.0" encoding="utf-8"?>
<ThreadedComments xmlns="http://schemas.microsoft.com/office/spreadsheetml/2018/threadedcomments" xmlns:x="http://schemas.openxmlformats.org/spreadsheetml/2006/main">
  <threadedComment ref="B21" dT="2023-02-13T14:51:12.26" personId="{91E3EAD6-5091-4DEE-9D22-5B5191884336}" id="{7FD1D592-F98C-4915-8539-BAB9A28D908A}">
    <text>Used values included in FY23 SYIP</text>
  </threadedComment>
  <threadedComment ref="C21" dT="2023-02-13T19:41:10.73" personId="{91E3EAD6-5091-4DEE-9D22-5B5191884336}" id="{DAC134FC-4C64-432A-A1EE-EBD65A0F638B}">
    <text>Added deadhead for uni-directional commuter routes &gt;20</text>
  </threadedComment>
  <threadedComment ref="C21" dT="2023-02-13T19:41:18.56" personId="{91E3EAD6-5091-4DEE-9D22-5B5191884336}" id="{2B536090-EF2B-4952-941C-5D4C06B9252E}" parentId="{DAC134FC-4C64-432A-A1EE-EBD65A0F638B}">
    <text>+8,535</text>
  </threadedComment>
  <threadedComment ref="D21" dT="2023-02-13T19:41:24.79" personId="{91E3EAD6-5091-4DEE-9D22-5B5191884336}" id="{D0E25D27-0B89-4D67-B5AF-1FBFA7B9E90D}">
    <text>Added deadhead for uni-directional commuter routes &gt;20</text>
  </threadedComment>
  <threadedComment ref="D21" dT="2023-02-13T19:41:33.57" personId="{91E3EAD6-5091-4DEE-9D22-5B5191884336}" id="{7461C949-8598-4BE8-832A-C2927FEC9DE0}" parentId="{D0E25D27-0B89-4D67-B5AF-1FBFA7B9E90D}">
    <text>+10,112</text>
  </threadedComment>
  <threadedComment ref="E21" dT="2024-02-05T15:33:06.12" personId="{A113714D-EF78-4739-854A-B8E27563291A}" id="{054DFBEA-A617-4610-8DE1-FF1C3DE19C19}">
    <text>Added deadhead for uni-directional commuter routes &gt; 20 mi</text>
  </threadedComment>
  <threadedComment ref="E21" dT="2024-02-05T15:33:23.77" personId="{A113714D-EF78-4739-854A-B8E27563291A}" id="{28D0017F-A43C-474D-96F0-9C6D139DC627}" parentId="{054DFBEA-A617-4610-8DE1-FF1C3DE19C19}">
    <text>+10,206</text>
  </threadedComment>
  <threadedComment ref="B25" dT="2023-02-13T14:51:56.54" personId="{91E3EAD6-5091-4DEE-9D22-5B5191884336}" id="{85E23C4F-8598-4938-BB58-C8BDA653806A}">
    <text>Used values included in FY23 SYIP</text>
  </threadedComment>
  <threadedComment ref="C25" dT="2023-02-09T19:57:27.48" personId="{91E3EAD6-5091-4DEE-9D22-5B5191884336}" id="{A9F7732D-1E84-4AB9-A033-98B6EB0FD7A3}">
    <text>Added deadhead for uni-directional commuter routes &gt;20</text>
  </threadedComment>
  <threadedComment ref="C25" dT="2023-02-09T19:57:57.90" personId="{91E3EAD6-5091-4DEE-9D22-5B5191884336}" id="{47834C49-6969-4EBC-8AE8-A00FD25C1C5C}" parentId="{A9F7732D-1E84-4AB9-A033-98B6EB0FD7A3}">
    <text>+2087</text>
  </threadedComment>
  <threadedComment ref="D25" dT="2023-02-09T19:57:33.06" personId="{91E3EAD6-5091-4DEE-9D22-5B5191884336}" id="{2F23C6E5-7556-4BC5-8A49-6622354FF6EB}">
    <text>Added deadhead for uni-directional commuter routes &gt;20</text>
  </threadedComment>
  <threadedComment ref="D25" dT="2023-02-09T19:58:09.27" personId="{91E3EAD6-5091-4DEE-9D22-5B5191884336}" id="{6EEABAC6-5D50-436E-B86D-89E87AC784A8}" parentId="{2F23C6E5-7556-4BC5-8A49-6622354FF6EB}">
    <text>+2521</text>
  </threadedComment>
  <threadedComment ref="B27" dT="2023-02-13T14:50:06.01" personId="{91E3EAD6-5091-4DEE-9D22-5B5191884336}" id="{B6F7801E-3EA6-4A70-906D-D966549FBA3D}">
    <text>Used values included in FY23 SYIP</text>
  </threadedComment>
  <threadedComment ref="C27" dT="2023-02-10T22:08:18.19" personId="{91E3EAD6-5091-4DEE-9D22-5B5191884336}" id="{AB29D4D3-9A2D-4DB8-8750-E5295833BA15}">
    <text>Added deadhead for uni-directional communter routes &gt;20mi</text>
  </threadedComment>
  <threadedComment ref="C27" dT="2023-02-10T22:08:31.38" personId="{91E3EAD6-5091-4DEE-9D22-5B5191884336}" id="{AE885DE1-BB0B-46EE-B4DC-ECEDA8CC15F2}" parentId="{AB29D4D3-9A2D-4DB8-8750-E5295833BA15}">
    <text>Assumed 49% increase based on FY2022 value</text>
  </threadedComment>
  <threadedComment ref="D27" dT="2023-02-10T22:07:44.22" personId="{91E3EAD6-5091-4DEE-9D22-5B5191884336}" id="{94474FF5-010B-4257-A804-C7FA2AB0117E}">
    <text>Added deadhead for uni-directional communter routes &gt;20mi</text>
  </threadedComment>
  <threadedComment ref="D27" dT="2023-02-10T22:08:47.36" personId="{91E3EAD6-5091-4DEE-9D22-5B5191884336}" id="{601D98CF-0237-455A-AEC8-F59F5E231B3F}" parentId="{94474FF5-010B-4257-A804-C7FA2AB0117E}">
    <text>+71,220</text>
  </threadedComment>
  <threadedComment ref="E27" dT="2024-02-05T15:34:55.40" personId="{A113714D-EF78-4739-854A-B8E27563291A}" id="{6AD4030D-827E-4BBC-822C-6DF6F0EF15DF}">
    <text>Added deadhead for uni-directional commuter routes &gt; 20 mi</text>
  </threadedComment>
  <threadedComment ref="E27" dT="2024-02-05T15:35:04.79" personId="{A113714D-EF78-4739-854A-B8E27563291A}" id="{82B56094-AAF1-4080-A9B0-03D857CF26B1}" parentId="{6AD4030D-827E-4BBC-822C-6DF6F0EF15DF}">
    <text>+57,989</text>
  </threadedComment>
  <threadedComment ref="E29" dT="2024-02-12T18:19:34.15" personId="{A113714D-EF78-4739-854A-B8E27563291A}" id="{6742D56C-4D8E-4A94-B6BD-4EF08D3BA942}">
    <text>Added deadhead for uni-directional commuter routes &gt; 20 mi</text>
  </threadedComment>
  <threadedComment ref="E29" dT="2024-02-12T18:19:46.97" personId="{A113714D-EF78-4739-854A-B8E27563291A}" id="{DEC2497C-BF87-460C-A376-7EF66D0CFDD9}" parentId="{6742D56C-4D8E-4A94-B6BD-4EF08D3BA942}">
    <text>+1,652</text>
  </threadedComment>
  <threadedComment ref="B39" dT="2023-02-13T15:11:03.81" personId="{91E3EAD6-5091-4DEE-9D22-5B5191884336}" id="{1482AA3A-A8BD-4CB6-BA8D-DB1D1EB8D00E}">
    <text>Carried forward figure from FY21 SYIP (and FY22 and FY23). This figure was reduced from 118,760 (with reported hours + Green Co. hours) based on an audit on 12/14/21.</text>
  </threadedComment>
  <threadedComment ref="B39" dT="2023-02-13T15:13:04.34" personId="{91E3EAD6-5091-4DEE-9D22-5B5191884336}" id="{EC44A76B-2B5D-42A2-8C5F-08DA708AC39A}" parentId="{1482AA3A-A8BD-4CB6-BA8D-DB1D1EB8D00E}">
    <text>Note: This figure would have been significantly higher than what was provided in FY21 (and carried forward in FY22 and 23). The FY21 number was reduced based on an audit. The different this figure will make in the overall allocation is negligible, but I wanted to flag it.</text>
  </threadedComment>
  <threadedComment ref="E42" dT="2024-01-17T20:06:14.97" personId="{91E3EAD6-5091-4DEE-9D22-5B5191884336}" id="{707CC7D6-D9FB-431D-9B1F-6DA75B2BFF7E}">
    <text>Combined VRT and NSVRC (ShenGo Demo) reported figures.</text>
  </threadedComment>
</ThreadedComments>
</file>

<file path=xl/threadedComments/threadedComment7.xml><?xml version="1.0" encoding="utf-8"?>
<ThreadedComments xmlns="http://schemas.microsoft.com/office/spreadsheetml/2018/threadedcomments" xmlns:x="http://schemas.openxmlformats.org/spreadsheetml/2006/main">
  <threadedComment ref="B21" dT="2023-02-13T15:22:52.33" personId="{91E3EAD6-5091-4DEE-9D22-5B5191884336}" id="{5A2B0AF0-4601-4340-8FF9-52FB4FE0D882}">
    <text>Used values included in FY23 SYIP</text>
  </threadedComment>
  <threadedComment ref="C21" dT="2023-02-13T19:40:16.42" personId="{91E3EAD6-5091-4DEE-9D22-5B5191884336}" id="{D9D85AAD-7EA0-4C39-B847-230645E9C7A9}">
    <text>Added deadhead for uni-directional commuter routes &gt;20</text>
  </threadedComment>
  <threadedComment ref="C21" dT="2023-02-13T19:40:40.42" personId="{91E3EAD6-5091-4DEE-9D22-5B5191884336}" id="{34592F8D-7841-4227-85EF-D58B5ED8364F}" parentId="{D9D85AAD-7EA0-4C39-B847-230645E9C7A9}">
    <text>+320,678.5</text>
  </threadedComment>
  <threadedComment ref="D21" dT="2023-02-13T19:40:23.85" personId="{91E3EAD6-5091-4DEE-9D22-5B5191884336}" id="{E605AB4F-149C-4EB9-A057-7E196054A876}">
    <text>Added deadhead for uni-directional commuter routes &gt;20</text>
  </threadedComment>
  <threadedComment ref="D21" dT="2023-02-13T19:40:57.02" personId="{91E3EAD6-5091-4DEE-9D22-5B5191884336}" id="{819F8D69-1DFE-4B2D-AF4D-D542DA5B7444}" parentId="{E605AB4F-149C-4EB9-A057-7E196054A876}">
    <text>+427962.5</text>
  </threadedComment>
  <threadedComment ref="E21" dT="2024-02-05T15:36:08.54" personId="{A113714D-EF78-4739-854A-B8E27563291A}" id="{340D8C82-B23B-4641-BB26-9E29D39BE1B5}">
    <text>Added deadhead for uni-directional commuter routes &gt; 20 mi</text>
  </threadedComment>
  <threadedComment ref="E21" dT="2024-02-05T15:36:32.01" personId="{A113714D-EF78-4739-854A-B8E27563291A}" id="{314C509E-4A7D-4919-86C7-21E35BCC250B}" parentId="{340D8C82-B23B-4641-BB26-9E29D39BE1B5}">
    <text>+ 501,367</text>
  </threadedComment>
  <threadedComment ref="B25" dT="2023-02-13T15:20:57.24" personId="{91E3EAD6-5091-4DEE-9D22-5B5191884336}" id="{36983C6B-2162-4A43-A7EC-E01C1999A35D}">
    <text>Used values included in FY23 SYIP</text>
  </threadedComment>
  <threadedComment ref="C25" dT="2023-02-09T19:57:02.46" personId="{91E3EAD6-5091-4DEE-9D22-5B5191884336}" id="{428FAD6E-EAA5-463F-B383-D630F4C35BC9}">
    <text>Added deadhead for uni-directional commuter routes &gt;20</text>
  </threadedComment>
  <threadedComment ref="C25" dT="2023-02-09T19:58:39.61" personId="{91E3EAD6-5091-4DEE-9D22-5B5191884336}" id="{BCAFC105-33BE-4C4A-B4B0-5DDC0771738C}" parentId="{428FAD6E-EAA5-463F-B383-D630F4C35BC9}">
    <text>+70,604</text>
  </threadedComment>
  <threadedComment ref="D25" dT="2023-02-09T19:57:18.06" personId="{91E3EAD6-5091-4DEE-9D22-5B5191884336}" id="{8380F502-91E5-468B-8B33-159244E9D724}">
    <text>Added deadhead for uni-directional commuter routes &gt;20</text>
  </threadedComment>
  <threadedComment ref="D25" dT="2023-02-09T19:58:47.69" personId="{91E3EAD6-5091-4DEE-9D22-5B5191884336}" id="{960A98C1-B26F-4869-9B8C-7DA9087C922A}" parentId="{8380F502-91E5-468B-8B33-159244E9D724}">
    <text>+85,445</text>
  </threadedComment>
  <threadedComment ref="B27" dT="2023-02-13T15:21:28.23" personId="{91E3EAD6-5091-4DEE-9D22-5B5191884336}" id="{2525DB9D-A023-47FA-BAE1-A145F59ACB75}">
    <text>Used values included in FY23 SYIP</text>
  </threadedComment>
  <threadedComment ref="C27" dT="2023-02-09T20:01:43.66" personId="{91E3EAD6-5091-4DEE-9D22-5B5191884336}" id="{8A94FD02-3ED1-4239-B02A-BB70B6AFDFFC}">
    <text>No data provided for deadhead for unidirectional commuter service &gt;20mi</text>
  </threadedComment>
  <threadedComment ref="C27" dT="2023-02-09T20:02:04.88" personId="{91E3EAD6-5091-4DEE-9D22-5B5191884336}" id="{3E5EE89A-55DE-46BA-8160-EE4CF6BBEB65}" parentId="{8A94FD02-3ED1-4239-B02A-BB70B6AFDFFC}">
    <text>Assumed 58% increase based on FY2022 value</text>
  </threadedComment>
  <threadedComment ref="D27" dT="2023-02-09T20:00:32.50" personId="{91E3EAD6-5091-4DEE-9D22-5B5191884336}" id="{D40A2267-ADC4-47A8-9E84-AAED5AB9F8C6}">
    <text>Added deadhead for uni-directional communter routes &gt;20mi</text>
  </threadedComment>
  <threadedComment ref="D27" dT="2023-02-09T20:00:39.23" personId="{91E3EAD6-5091-4DEE-9D22-5B5191884336}" id="{8C6F5EC9-E889-4A3E-AEEB-12609CDD841E}" parentId="{D40A2267-ADC4-47A8-9E84-AAED5AB9F8C6}">
    <text>+1,905,553</text>
  </threadedComment>
  <threadedComment ref="E27" dT="2024-02-05T15:36:12.74" personId="{A113714D-EF78-4739-854A-B8E27563291A}" id="{5A9B2958-7AE0-4FB4-AECC-6CF6012CC36B}">
    <text>Added deadhead for uni-directional commuter routes &gt; 20 mi</text>
  </threadedComment>
  <threadedComment ref="E27" dT="2024-02-05T15:37:05.02" personId="{A113714D-EF78-4739-854A-B8E27563291A}" id="{F9F577E7-CB73-4622-B7A0-9CCCFF9586DD}" parentId="{5A9B2958-7AE0-4FB4-AECC-6CF6012CC36B}">
    <text>+1,784,701</text>
  </threadedComment>
  <threadedComment ref="E29" dT="2024-02-09T21:25:51.08" personId="{A113714D-EF78-4739-854A-B8E27563291A}" id="{4222E1C7-3373-4E27-A1DF-166166595744}">
    <text>Added deadhead for uni-directional commuter routes &gt; 20 mi</text>
  </threadedComment>
  <threadedComment ref="E29" dT="2024-02-09T21:26:05.31" personId="{A113714D-EF78-4739-854A-B8E27563291A}" id="{248EE25F-5C4E-4954-9DA2-A0B0BB470BDF}" parentId="{4222E1C7-3373-4E27-A1DF-166166595744}">
    <text xml:space="preserve">+34,410 </text>
  </threadedComment>
  <threadedComment ref="B39" dT="2023-02-13T15:24:43.03" personId="{91E3EAD6-5091-4DEE-9D22-5B5191884336}" id="{8FF73F4A-71B5-48CE-B80C-CA9D0282122B}">
    <text>Carried forward figure from FY21 SYIP (and FY22 and FY23). This figure was reduced from 1,738,303 (with reported miles + Green Co. miles) based on an audit on 12/14/21.</text>
  </threadedComment>
  <threadedComment ref="B39" dT="2023-02-13T15:29:36.51" personId="{91E3EAD6-5091-4DEE-9D22-5B5191884336}" id="{DB02073F-B561-4600-BB33-931374D3ADA5}" parentId="{8FF73F4A-71B5-48CE-B80C-CA9D0282122B}">
    <text>Note: This figure would have been significantly higher than what was provided in FY21 (and carried forward in FY22 and 23). The FY21 number was reduced based on an audit. The different this figure will make in the overall allocation is negligible, but I wanted to flag it.</text>
  </threadedComment>
  <threadedComment ref="E42" dT="2024-01-17T20:06:07.84" personId="{91E3EAD6-5091-4DEE-9D22-5B5191884336}" id="{D99A6477-F603-4F0E-B9B5-8D1A5948D03C}">
    <text>Combined VRT and NSVRC (ShenGo Demo) reported figures.</text>
  </threadedComment>
</ThreadedComments>
</file>

<file path=xl/threadedComments/threadedComment8.xml><?xml version="1.0" encoding="utf-8"?>
<ThreadedComments xmlns="http://schemas.microsoft.com/office/spreadsheetml/2018/threadedcomments" xmlns:x="http://schemas.openxmlformats.org/spreadsheetml/2006/main">
  <threadedComment ref="B39" dT="2023-02-13T19:58:34.07" personId="{91E3EAD6-5091-4DEE-9D22-5B5191884336}" id="{507E3A32-3055-46DB-B8FB-2E794C7B1527}">
    <text>Added Green Co. Ridership: 63,081</text>
  </threadedComment>
  <threadedComment ref="C39" dT="2023-02-13T20:02:51.63" personId="{91E3EAD6-5091-4DEE-9D22-5B5191884336}" id="{741570A3-C9C6-4F81-87D5-13054DCD66A5}">
    <text>Carried forward figure from FY21 SYIP (and FY22 and FY23). This figure was reduced from 319,254 (with reported ridership + Green Co. ridership) based on an audit on 12/14/21.</text>
  </threadedComment>
</ThreadedComments>
</file>

<file path=xl/threadedComments/threadedComment9.xml><?xml version="1.0" encoding="utf-8"?>
<ThreadedComments xmlns="http://schemas.microsoft.com/office/spreadsheetml/2018/threadedcomments" xmlns:x="http://schemas.openxmlformats.org/spreadsheetml/2006/main">
  <threadedComment ref="C21" dT="2023-02-13T14:51:04.68" personId="{91E3EAD6-5091-4DEE-9D22-5B5191884336}" id="{0737712F-F31A-4366-AFE8-ECFF41C355BC}">
    <text>Used values included in FY23 SYIP</text>
  </threadedComment>
  <threadedComment ref="D21" dT="2023-02-13T14:51:12.26" personId="{91E3EAD6-5091-4DEE-9D22-5B5191884336}" id="{B4891261-8E4B-4BE6-8071-4488F0676AB6}">
    <text>Used values included in FY23 SYIP</text>
  </threadedComment>
  <threadedComment ref="E21" dT="2023-02-13T19:41:10.73" personId="{91E3EAD6-5091-4DEE-9D22-5B5191884336}" id="{F54E6831-F888-4C5B-B938-0FB60A6B1891}">
    <text>Added deadhead for uni-directional commuter routes &gt;20</text>
  </threadedComment>
  <threadedComment ref="E21" dT="2023-02-13T19:41:18.56" personId="{91E3EAD6-5091-4DEE-9D22-5B5191884336}" id="{4F8F3C0D-F912-45F2-9CD9-570D3D78FB58}" parentId="{F54E6831-F888-4C5B-B938-0FB60A6B1891}">
    <text>+8,535</text>
  </threadedComment>
  <threadedComment ref="F21" dT="2023-02-13T19:41:24.79" personId="{91E3EAD6-5091-4DEE-9D22-5B5191884336}" id="{54AB47AF-763A-4D90-AF60-DD9CDD01FA40}">
    <text>Added deadhead for uni-directional commuter routes &gt;20</text>
  </threadedComment>
  <threadedComment ref="F21" dT="2023-02-13T19:41:33.57" personId="{91E3EAD6-5091-4DEE-9D22-5B5191884336}" id="{15ED5250-51D9-4B3E-8ECE-B8225A281DA7}" parentId="{54AB47AF-763A-4D90-AF60-DD9CDD01FA40}">
    <text>+10,112</text>
  </threadedComment>
  <threadedComment ref="C25" dT="2023-02-13T14:51:50.50" personId="{91E3EAD6-5091-4DEE-9D22-5B5191884336}" id="{10395CB0-DC07-4660-B00C-DFD07B9A1A7F}">
    <text>Used values included in FY23 SYIP</text>
  </threadedComment>
  <threadedComment ref="D25" dT="2023-02-13T14:51:56.54" personId="{91E3EAD6-5091-4DEE-9D22-5B5191884336}" id="{C4271746-15AE-4299-A361-196A6E77AD27}">
    <text>Used values included in FY23 SYIP</text>
  </threadedComment>
  <threadedComment ref="E25" dT="2023-02-09T19:57:27.48" personId="{91E3EAD6-5091-4DEE-9D22-5B5191884336}" id="{B56E2B52-1F0B-4E2A-949F-47AB9546E657}">
    <text>Added deadhead for uni-directional commuter routes &gt;20</text>
  </threadedComment>
  <threadedComment ref="E25" dT="2023-02-09T19:57:57.90" personId="{91E3EAD6-5091-4DEE-9D22-5B5191884336}" id="{886DE0B9-C137-4215-A9BC-992309DB2967}" parentId="{B56E2B52-1F0B-4E2A-949F-47AB9546E657}">
    <text>+2087</text>
  </threadedComment>
  <threadedComment ref="F25" dT="2023-02-09T19:57:33.06" personId="{91E3EAD6-5091-4DEE-9D22-5B5191884336}" id="{9BCC5F34-0AEA-4CE8-8C81-5B1822DD8589}">
    <text>Added deadhead for uni-directional commuter routes &gt;20</text>
  </threadedComment>
  <threadedComment ref="F25" dT="2023-02-09T19:58:09.27" personId="{91E3EAD6-5091-4DEE-9D22-5B5191884336}" id="{79A3B77B-F0B1-4303-9B1A-9C3CFEFCA505}" parentId="{9BCC5F34-0AEA-4CE8-8C81-5B1822DD8589}">
    <text>+2521</text>
  </threadedComment>
  <threadedComment ref="C27" dT="2023-02-13T14:47:37.64" personId="{91E3EAD6-5091-4DEE-9D22-5B5191884336}" id="{DF4BB54F-02B3-4BB3-82AE-D84A3978D297}">
    <text>Used values included in FY23 SYIP</text>
  </threadedComment>
  <threadedComment ref="D27" dT="2023-02-13T14:50:06.01" personId="{91E3EAD6-5091-4DEE-9D22-5B5191884336}" id="{9533238A-D0EF-4373-AC39-DC8E452ACE71}">
    <text>Used values included in FY23 SYIP</text>
  </threadedComment>
  <threadedComment ref="E27" dT="2023-02-10T22:08:18.19" personId="{91E3EAD6-5091-4DEE-9D22-5B5191884336}" id="{8B8742D5-30B2-4CD5-BC86-FD65A566F3E1}">
    <text>Added deadhead for uni-directional communter routes &gt;20mi</text>
  </threadedComment>
  <threadedComment ref="E27" dT="2023-02-10T22:08:31.38" personId="{91E3EAD6-5091-4DEE-9D22-5B5191884336}" id="{E7B6AE46-067F-41E7-B9C9-3868F40F3528}" parentId="{8B8742D5-30B2-4CD5-BC86-FD65A566F3E1}">
    <text>Assumed 49% increase based on FY2022 value</text>
  </threadedComment>
  <threadedComment ref="F27" dT="2023-02-10T22:07:44.22" personId="{91E3EAD6-5091-4DEE-9D22-5B5191884336}" id="{72988F7F-2133-4632-A656-FA30BCD96B7C}">
    <text>Added deadhead for uni-directional communter routes &gt;20mi</text>
  </threadedComment>
  <threadedComment ref="F27" dT="2023-02-10T22:08:47.36" personId="{91E3EAD6-5091-4DEE-9D22-5B5191884336}" id="{3E93A35F-2C71-4063-BCF0-784EA7EB7B50}" parentId="{72988F7F-2133-4632-A656-FA30BCD96B7C}">
    <text>+71,220</text>
  </threadedComment>
  <threadedComment ref="C39" dT="2023-02-13T15:10:25.93" personId="{91E3EAD6-5091-4DEE-9D22-5B5191884336}" id="{644BD732-7F7E-414A-9072-CEAE647B1235}">
    <text>Added Green Co. hours: 21,594</text>
  </threadedComment>
  <threadedComment ref="D39" dT="2023-02-13T15:11:03.81" personId="{91E3EAD6-5091-4DEE-9D22-5B5191884336}" id="{6D5098B4-13EA-48E4-BF9B-7CC955287005}">
    <text>Carried forward figure from FY21 SYIP (and FY22 and FY23). This figure was reduced from 118,760 (with reported hours + Green Co. hours) based on an audit on 12/14/21.</text>
  </threadedComment>
  <threadedComment ref="D39" dT="2023-02-13T15:13:04.34" personId="{91E3EAD6-5091-4DEE-9D22-5B5191884336}" id="{65F2927C-DB14-4757-9D7B-50B0206EE4FF}" parentId="{6D5098B4-13EA-48E4-BF9B-7CC955287005}">
    <text>Note: This figure would have been significantly higher than what was provided in FY21 (and carried forward in FY22 and 23). The FY21 number was reduced based on an audit. The different this figure will make in the overall allocation is negligible, but I wanted to flag it.</text>
  </threadedComment>
</ThreadedComment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 Id="rId4" Type="http://schemas.microsoft.com/office/2017/10/relationships/threadedComment" Target="../threadedComments/threadedComment5.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microsoft.com/office/2017/10/relationships/threadedComment" Target="../threadedComments/threadedComment6.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 Id="rId4" Type="http://schemas.microsoft.com/office/2017/10/relationships/threadedComment" Target="../threadedComments/threadedComment7.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 Id="rId4" Type="http://schemas.microsoft.com/office/2017/10/relationships/threadedComment" Target="../threadedComments/threadedComment8.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 Id="rId4" Type="http://schemas.microsoft.com/office/2017/10/relationships/threadedComment" Target="../threadedComments/threadedComment9.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6.bin"/><Relationship Id="rId4" Type="http://schemas.microsoft.com/office/2017/10/relationships/threadedComment" Target="../threadedComments/threadedComment10.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10FD6-EB3D-48DF-919F-642082FAC07E}">
  <dimension ref="A1:S84"/>
  <sheetViews>
    <sheetView showGridLines="0" tabSelected="1" zoomScale="80" zoomScaleNormal="80" workbookViewId="0"/>
  </sheetViews>
  <sheetFormatPr defaultRowHeight="12.75"/>
  <cols>
    <col min="1" max="1" width="20" customWidth="1"/>
    <col min="2" max="2" width="26.28515625" customWidth="1"/>
    <col min="3" max="3" width="32.85546875" hidden="1" customWidth="1"/>
    <col min="4" max="4" width="22.28515625" customWidth="1"/>
    <col min="5" max="5" width="19.7109375" hidden="1" customWidth="1"/>
    <col min="6" max="6" width="37" customWidth="1"/>
    <col min="7" max="7" width="15.42578125" customWidth="1"/>
    <col min="8" max="8" width="13.7109375" customWidth="1"/>
    <col min="10" max="10" width="3.7109375" customWidth="1"/>
    <col min="11" max="11" width="20.5703125" customWidth="1"/>
    <col min="12" max="12" width="8.5703125" customWidth="1"/>
    <col min="13" max="15" width="16" customWidth="1"/>
    <col min="16" max="16" width="1.28515625" customWidth="1"/>
    <col min="17" max="18" width="16.85546875" customWidth="1"/>
    <col min="19" max="19" width="16.5703125" customWidth="1"/>
  </cols>
  <sheetData>
    <row r="1" spans="1:6" ht="13.5" thickBot="1">
      <c r="A1" t="s">
        <v>245</v>
      </c>
    </row>
    <row r="2" spans="1:6" ht="13.5" thickBot="1">
      <c r="B2" s="1" t="s">
        <v>0</v>
      </c>
      <c r="C2" s="2"/>
      <c r="D2" s="3" t="s">
        <v>1</v>
      </c>
      <c r="E2" s="4" t="s">
        <v>2</v>
      </c>
      <c r="F2" s="5" t="s">
        <v>3</v>
      </c>
    </row>
    <row r="3" spans="1:6" ht="13.5" thickBot="1">
      <c r="B3" s="1"/>
      <c r="C3" s="6"/>
      <c r="D3" s="7"/>
      <c r="E3" s="8" t="s">
        <v>4</v>
      </c>
      <c r="F3" s="9"/>
    </row>
    <row r="4" spans="1:6" ht="13.5" thickBot="1">
      <c r="B4" s="1"/>
      <c r="C4" s="10"/>
      <c r="D4" s="10"/>
      <c r="E4" s="11" t="s">
        <v>5</v>
      </c>
      <c r="F4" s="12" t="s">
        <v>6</v>
      </c>
    </row>
    <row r="5" spans="1:6" ht="13.5" thickBot="1">
      <c r="B5" s="1"/>
      <c r="C5" s="10"/>
      <c r="D5" s="10"/>
      <c r="E5" s="11" t="s">
        <v>7</v>
      </c>
      <c r="F5" s="12" t="s">
        <v>8</v>
      </c>
    </row>
    <row r="6" spans="1:6" ht="13.5" thickBot="1">
      <c r="B6" s="1"/>
      <c r="C6" s="13"/>
      <c r="D6" s="13"/>
      <c r="E6" s="14" t="s">
        <v>9</v>
      </c>
      <c r="F6" s="15" t="s">
        <v>10</v>
      </c>
    </row>
    <row r="7" spans="1:6">
      <c r="B7" s="1"/>
      <c r="C7" s="16"/>
      <c r="D7" s="13"/>
      <c r="E7" s="14" t="s">
        <v>11</v>
      </c>
      <c r="F7" s="15" t="s">
        <v>10</v>
      </c>
    </row>
    <row r="8" spans="1:6">
      <c r="B8" s="17" t="s">
        <v>12</v>
      </c>
      <c r="C8" s="18" t="s">
        <v>13</v>
      </c>
      <c r="D8" s="19">
        <v>0.5</v>
      </c>
      <c r="E8" s="20" t="s">
        <v>14</v>
      </c>
      <c r="F8" s="21">
        <v>0.35</v>
      </c>
    </row>
    <row r="9" spans="1:6">
      <c r="B9" s="22"/>
      <c r="C9" s="23" t="s">
        <v>15</v>
      </c>
      <c r="D9" s="24">
        <v>0.3</v>
      </c>
      <c r="E9" s="20" t="s">
        <v>14</v>
      </c>
      <c r="F9" s="25">
        <v>0.35</v>
      </c>
    </row>
    <row r="10" spans="1:6">
      <c r="B10" s="22"/>
      <c r="C10" s="26" t="s">
        <v>16</v>
      </c>
      <c r="D10" s="24">
        <v>0.1</v>
      </c>
      <c r="E10" s="20" t="s">
        <v>14</v>
      </c>
      <c r="F10" s="25">
        <v>0.15</v>
      </c>
    </row>
    <row r="11" spans="1:6" ht="13.5" thickBot="1">
      <c r="B11" s="27"/>
      <c r="C11" s="28" t="s">
        <v>17</v>
      </c>
      <c r="D11" s="29">
        <v>0.1</v>
      </c>
      <c r="E11" s="20" t="s">
        <v>14</v>
      </c>
      <c r="F11" s="30">
        <v>0.15</v>
      </c>
    </row>
    <row r="12" spans="1:6">
      <c r="B12" s="31" t="s">
        <v>18</v>
      </c>
      <c r="C12" s="32" t="s">
        <v>19</v>
      </c>
      <c r="D12" s="33">
        <v>0.2</v>
      </c>
      <c r="E12" s="20" t="s">
        <v>14</v>
      </c>
      <c r="F12" s="34">
        <v>0</v>
      </c>
    </row>
    <row r="13" spans="1:6">
      <c r="B13" s="17" t="s">
        <v>20</v>
      </c>
      <c r="C13" s="35" t="s">
        <v>21</v>
      </c>
      <c r="D13" s="36">
        <v>0.2</v>
      </c>
      <c r="E13" s="20" t="s">
        <v>14</v>
      </c>
      <c r="F13" s="25">
        <v>0</v>
      </c>
    </row>
    <row r="14" spans="1:6">
      <c r="B14" s="17" t="s">
        <v>22</v>
      </c>
      <c r="C14" s="35" t="s">
        <v>23</v>
      </c>
      <c r="D14" s="36">
        <v>0.2</v>
      </c>
      <c r="E14" s="20" t="s">
        <v>14</v>
      </c>
      <c r="F14" s="25">
        <v>0</v>
      </c>
    </row>
    <row r="15" spans="1:6">
      <c r="B15" s="22"/>
      <c r="C15" s="35" t="s">
        <v>24</v>
      </c>
      <c r="D15" s="36">
        <v>0.2</v>
      </c>
      <c r="E15" s="20" t="s">
        <v>14</v>
      </c>
      <c r="F15" s="25">
        <v>0</v>
      </c>
    </row>
    <row r="16" spans="1:6" ht="13.5" thickBot="1">
      <c r="B16" s="27"/>
      <c r="C16" s="37" t="s">
        <v>25</v>
      </c>
      <c r="D16" s="38">
        <v>0.2</v>
      </c>
      <c r="E16" s="20" t="s">
        <v>14</v>
      </c>
      <c r="F16" s="30">
        <v>0</v>
      </c>
    </row>
    <row r="17" spans="2:19" ht="24.75" thickBot="1">
      <c r="B17" s="39" t="s">
        <v>26</v>
      </c>
      <c r="C17" s="40"/>
      <c r="D17" s="41" t="s">
        <v>27</v>
      </c>
      <c r="E17" s="20" t="s">
        <v>14</v>
      </c>
      <c r="F17" s="42" t="s">
        <v>28</v>
      </c>
    </row>
    <row r="18" spans="2:19">
      <c r="B18" s="43" t="s">
        <v>29</v>
      </c>
      <c r="C18" s="32" t="s">
        <v>30</v>
      </c>
      <c r="D18" s="44" t="s">
        <v>31</v>
      </c>
      <c r="E18" s="20" t="s">
        <v>14</v>
      </c>
      <c r="F18" s="45" t="s">
        <v>32</v>
      </c>
    </row>
    <row r="19" spans="2:19">
      <c r="B19" s="46" t="s">
        <v>33</v>
      </c>
      <c r="C19" s="35" t="s">
        <v>34</v>
      </c>
      <c r="D19" s="47" t="s">
        <v>31</v>
      </c>
      <c r="E19" s="20" t="s">
        <v>14</v>
      </c>
      <c r="F19" s="48" t="s">
        <v>35</v>
      </c>
    </row>
    <row r="20" spans="2:19">
      <c r="B20" s="46" t="s">
        <v>36</v>
      </c>
      <c r="C20" s="35" t="s">
        <v>21</v>
      </c>
      <c r="D20" s="49" t="s">
        <v>31</v>
      </c>
      <c r="E20" s="20" t="s">
        <v>14</v>
      </c>
      <c r="F20" s="48">
        <v>0.25</v>
      </c>
    </row>
    <row r="21" spans="2:19">
      <c r="B21" s="46"/>
      <c r="C21" s="35" t="s">
        <v>19</v>
      </c>
      <c r="D21" s="49" t="s">
        <v>31</v>
      </c>
      <c r="E21" s="20" t="s">
        <v>14</v>
      </c>
      <c r="F21" s="48">
        <v>0.25</v>
      </c>
    </row>
    <row r="22" spans="2:19" ht="13.5" thickBot="1">
      <c r="B22" s="50"/>
      <c r="C22" s="51" t="s">
        <v>37</v>
      </c>
      <c r="D22" s="49" t="s">
        <v>31</v>
      </c>
      <c r="E22" s="20" t="s">
        <v>14</v>
      </c>
      <c r="F22" s="52">
        <v>0.5</v>
      </c>
    </row>
    <row r="23" spans="2:19">
      <c r="B23" s="43" t="s">
        <v>38</v>
      </c>
      <c r="C23" s="32" t="s">
        <v>39</v>
      </c>
      <c r="D23" s="33">
        <v>0.3</v>
      </c>
      <c r="E23" s="20" t="s">
        <v>14</v>
      </c>
      <c r="F23" s="53">
        <v>0.3</v>
      </c>
    </row>
    <row r="24" spans="2:19" ht="13.5" thickBot="1">
      <c r="B24" s="54"/>
      <c r="C24" s="37" t="s">
        <v>40</v>
      </c>
      <c r="D24" s="38">
        <v>0.3</v>
      </c>
      <c r="E24" s="20" t="s">
        <v>14</v>
      </c>
      <c r="F24" s="55">
        <v>0.3</v>
      </c>
    </row>
    <row r="26" spans="2:19" ht="37.5" customHeight="1">
      <c r="B26" s="56" t="s">
        <v>41</v>
      </c>
      <c r="C26" s="57"/>
      <c r="D26" s="58" t="s">
        <v>42</v>
      </c>
      <c r="E26" s="59"/>
      <c r="F26" s="58" t="s">
        <v>43</v>
      </c>
      <c r="G26" s="59" t="s">
        <v>44</v>
      </c>
      <c r="H26" s="59" t="s">
        <v>45</v>
      </c>
      <c r="M26" s="60" t="s">
        <v>46</v>
      </c>
      <c r="N26" s="60"/>
      <c r="O26" s="60"/>
      <c r="Q26" s="60" t="s">
        <v>47</v>
      </c>
      <c r="R26" s="60"/>
      <c r="S26" s="60"/>
    </row>
    <row r="27" spans="2:19" ht="15" thickBot="1">
      <c r="B27" s="61" t="s">
        <v>48</v>
      </c>
      <c r="C27" s="62"/>
      <c r="D27" s="63"/>
      <c r="E27" s="63"/>
      <c r="M27" s="546">
        <v>2024</v>
      </c>
      <c r="N27" s="546">
        <v>2025</v>
      </c>
      <c r="O27" s="546">
        <v>2026</v>
      </c>
      <c r="Q27" s="546">
        <v>2024</v>
      </c>
      <c r="R27" s="546">
        <v>2025</v>
      </c>
      <c r="S27" s="546">
        <v>2026</v>
      </c>
    </row>
    <row r="28" spans="2:19" ht="14.25">
      <c r="B28" s="64" t="s">
        <v>49</v>
      </c>
      <c r="C28" s="65"/>
      <c r="D28" s="66">
        <f>AVERAGE(M28:O28)</f>
        <v>2257448.1399023193</v>
      </c>
      <c r="E28" s="67" t="s">
        <v>14</v>
      </c>
      <c r="F28" s="68">
        <f>AVERAGE(Q28:S28)</f>
        <v>2302545.0132369325</v>
      </c>
      <c r="G28" s="69">
        <f t="shared" ref="G28:G37" si="0">F28-D28</f>
        <v>45096.873334613163</v>
      </c>
      <c r="H28" s="70">
        <f t="shared" ref="H28:H37" si="1">G28/D28</f>
        <v>1.9976925510485712E-2</v>
      </c>
      <c r="M28" s="71">
        <f>SUMIF($A$42:$A$80,$B28,M$42:M$80)</f>
        <v>2393545</v>
      </c>
      <c r="N28" s="71">
        <f t="shared" ref="N28:O37" si="2">SUMIF($A$42:$A$80,$B28,N$42:N$80)</f>
        <v>2293801</v>
      </c>
      <c r="O28" s="71">
        <f t="shared" si="2"/>
        <v>2084998.4197069572</v>
      </c>
      <c r="Q28" s="71">
        <f>SUMIF($A$42:$A$80,$B28,Q$42:Q$80)</f>
        <v>2390535.8185383161</v>
      </c>
      <c r="R28" s="71">
        <f t="shared" ref="R28:S37" si="3">SUMIF($A$42:$A$80,$B28,R$42:R$80)</f>
        <v>2310509.6305614091</v>
      </c>
      <c r="S28" s="71">
        <f t="shared" si="3"/>
        <v>2206589.5906110718</v>
      </c>
    </row>
    <row r="29" spans="2:19" ht="14.25">
      <c r="B29" s="72" t="s">
        <v>50</v>
      </c>
      <c r="C29" s="73"/>
      <c r="D29" s="74">
        <f t="shared" ref="D29:D37" si="4">AVERAGE(M29:O29)</f>
        <v>2971811.8341092449</v>
      </c>
      <c r="E29" s="67" t="s">
        <v>14</v>
      </c>
      <c r="F29" s="75">
        <f t="shared" ref="F29:F37" si="5">AVERAGE(Q29:S29)</f>
        <v>2955605.5237816013</v>
      </c>
      <c r="G29" s="76">
        <f t="shared" si="0"/>
        <v>-16206.310327643529</v>
      </c>
      <c r="H29" s="77">
        <f t="shared" si="1"/>
        <v>-5.4533433582954699E-3</v>
      </c>
      <c r="M29" s="71">
        <f t="shared" ref="M29:M37" si="6">SUMIF($A$42:$A$80,$B29,M$42:M$80)</f>
        <v>2759211</v>
      </c>
      <c r="N29" s="71">
        <f t="shared" si="2"/>
        <v>2600883</v>
      </c>
      <c r="O29" s="71">
        <f t="shared" si="2"/>
        <v>3555341.5023277341</v>
      </c>
      <c r="Q29" s="71">
        <f t="shared" ref="Q29:Q37" si="7">SUMIF($A$42:$A$80,$B29,Q$42:Q$80)</f>
        <v>2759210.6999999997</v>
      </c>
      <c r="R29" s="71">
        <f t="shared" si="3"/>
        <v>2750081.8829921298</v>
      </c>
      <c r="S29" s="71">
        <f t="shared" si="3"/>
        <v>3357523.9883526759</v>
      </c>
    </row>
    <row r="30" spans="2:19" ht="14.25">
      <c r="B30" s="72" t="s">
        <v>51</v>
      </c>
      <c r="C30" s="73"/>
      <c r="D30" s="74">
        <f t="shared" si="4"/>
        <v>1071485.0448851464</v>
      </c>
      <c r="E30" s="67" t="s">
        <v>14</v>
      </c>
      <c r="F30" s="75">
        <f t="shared" si="5"/>
        <v>991727.64516962832</v>
      </c>
      <c r="G30" s="76">
        <f t="shared" si="0"/>
        <v>-79757.399715518113</v>
      </c>
      <c r="H30" s="77">
        <f t="shared" si="1"/>
        <v>-7.4436316303478967E-2</v>
      </c>
      <c r="M30" s="71">
        <f t="shared" si="6"/>
        <v>1083494</v>
      </c>
      <c r="N30" s="71">
        <f t="shared" si="2"/>
        <v>1053666</v>
      </c>
      <c r="O30" s="71">
        <f t="shared" si="2"/>
        <v>1077295.1346554393</v>
      </c>
      <c r="Q30" s="71">
        <f t="shared" si="7"/>
        <v>1021327.0925876829</v>
      </c>
      <c r="R30" s="71">
        <f t="shared" si="3"/>
        <v>969664.9212815027</v>
      </c>
      <c r="S30" s="71">
        <f t="shared" si="3"/>
        <v>984190.92163969937</v>
      </c>
    </row>
    <row r="31" spans="2:19" ht="14.25">
      <c r="B31" s="72" t="s">
        <v>52</v>
      </c>
      <c r="C31" s="73"/>
      <c r="D31" s="74">
        <f t="shared" si="4"/>
        <v>28692230.700066816</v>
      </c>
      <c r="E31" s="67" t="s">
        <v>14</v>
      </c>
      <c r="F31" s="75">
        <f t="shared" si="5"/>
        <v>29276880.127124388</v>
      </c>
      <c r="G31" s="76">
        <f t="shared" si="0"/>
        <v>584649.42705757171</v>
      </c>
      <c r="H31" s="77">
        <f t="shared" si="1"/>
        <v>2.0376576264466262E-2</v>
      </c>
      <c r="M31" s="71">
        <f t="shared" si="6"/>
        <v>29989399</v>
      </c>
      <c r="N31" s="71">
        <f t="shared" si="2"/>
        <v>28188865</v>
      </c>
      <c r="O31" s="71">
        <f t="shared" si="2"/>
        <v>27898428.100200444</v>
      </c>
      <c r="Q31" s="71">
        <f t="shared" si="7"/>
        <v>30483257.5740286</v>
      </c>
      <c r="R31" s="71">
        <f t="shared" si="3"/>
        <v>28902775.752657101</v>
      </c>
      <c r="S31" s="71">
        <f t="shared" si="3"/>
        <v>28444607.054687466</v>
      </c>
    </row>
    <row r="32" spans="2:19" ht="14.25">
      <c r="B32" s="72" t="s">
        <v>53</v>
      </c>
      <c r="C32" s="73"/>
      <c r="D32" s="74">
        <f t="shared" si="4"/>
        <v>2772386.367524276</v>
      </c>
      <c r="E32" s="67" t="s">
        <v>14</v>
      </c>
      <c r="F32" s="75">
        <f t="shared" si="5"/>
        <v>3028554.3050672058</v>
      </c>
      <c r="G32" s="76">
        <f t="shared" si="0"/>
        <v>256167.93754292978</v>
      </c>
      <c r="H32" s="77">
        <f t="shared" si="1"/>
        <v>9.2399796992107625E-2</v>
      </c>
      <c r="M32" s="71">
        <f t="shared" si="6"/>
        <v>2955096</v>
      </c>
      <c r="N32" s="71">
        <f t="shared" si="2"/>
        <v>2698977</v>
      </c>
      <c r="O32" s="71">
        <f t="shared" si="2"/>
        <v>2663086.1025728276</v>
      </c>
      <c r="Q32" s="71">
        <f t="shared" si="7"/>
        <v>3229371.7141590426</v>
      </c>
      <c r="R32" s="71">
        <f t="shared" si="3"/>
        <v>2975974.1772576077</v>
      </c>
      <c r="S32" s="71">
        <f t="shared" si="3"/>
        <v>2880317.0237849671</v>
      </c>
    </row>
    <row r="33" spans="1:19" ht="14.25">
      <c r="B33" s="72" t="s">
        <v>54</v>
      </c>
      <c r="C33" s="73"/>
      <c r="D33" s="74">
        <f t="shared" si="4"/>
        <v>56728251.939407773</v>
      </c>
      <c r="E33" s="67" t="s">
        <v>14</v>
      </c>
      <c r="F33" s="75">
        <f t="shared" si="5"/>
        <v>54932327.820781887</v>
      </c>
      <c r="G33" s="76">
        <f t="shared" si="0"/>
        <v>-1795924.1186258867</v>
      </c>
      <c r="H33" s="77">
        <f t="shared" si="1"/>
        <v>-3.1658372278845083E-2</v>
      </c>
      <c r="M33" s="71">
        <f t="shared" si="6"/>
        <v>60497894</v>
      </c>
      <c r="N33" s="71">
        <f t="shared" si="2"/>
        <v>54594353</v>
      </c>
      <c r="O33" s="71">
        <f t="shared" si="2"/>
        <v>55092508.818223327</v>
      </c>
      <c r="Q33" s="71">
        <f t="shared" si="7"/>
        <v>60085860.261911452</v>
      </c>
      <c r="R33" s="71">
        <f t="shared" si="3"/>
        <v>52881406.479438901</v>
      </c>
      <c r="S33" s="71">
        <f t="shared" si="3"/>
        <v>51829716.720995307</v>
      </c>
    </row>
    <row r="34" spans="1:19" ht="14.25">
      <c r="B34" s="72" t="s">
        <v>55</v>
      </c>
      <c r="C34" s="73"/>
      <c r="D34" s="74">
        <f t="shared" si="4"/>
        <v>20052090.808745552</v>
      </c>
      <c r="E34" s="67" t="s">
        <v>14</v>
      </c>
      <c r="F34" s="75">
        <f t="shared" si="5"/>
        <v>20781993.808721017</v>
      </c>
      <c r="G34" s="76">
        <f t="shared" si="0"/>
        <v>729902.99997546524</v>
      </c>
      <c r="H34" s="77">
        <f t="shared" si="1"/>
        <v>3.6400343831333747E-2</v>
      </c>
      <c r="M34" s="71">
        <f t="shared" si="6"/>
        <v>18734413</v>
      </c>
      <c r="N34" s="71">
        <f t="shared" si="2"/>
        <v>21605869</v>
      </c>
      <c r="O34" s="71">
        <f t="shared" si="2"/>
        <v>19815990.426236656</v>
      </c>
      <c r="Q34" s="71">
        <f t="shared" si="7"/>
        <v>18734413.199999999</v>
      </c>
      <c r="R34" s="71">
        <f t="shared" si="3"/>
        <v>21908228.92442992</v>
      </c>
      <c r="S34" s="71">
        <f t="shared" si="3"/>
        <v>21703339.301733125</v>
      </c>
    </row>
    <row r="35" spans="1:19" ht="14.25">
      <c r="B35" s="72" t="s">
        <v>56</v>
      </c>
      <c r="C35" s="73"/>
      <c r="D35" s="74">
        <f t="shared" si="4"/>
        <v>7455196.5558467098</v>
      </c>
      <c r="E35" s="67" t="s">
        <v>14</v>
      </c>
      <c r="F35" s="75">
        <f t="shared" si="5"/>
        <v>7767250.6118149497</v>
      </c>
      <c r="G35" s="76">
        <f t="shared" si="0"/>
        <v>312054.0559682399</v>
      </c>
      <c r="H35" s="77">
        <f t="shared" si="1"/>
        <v>4.1857254014786863E-2</v>
      </c>
      <c r="M35" s="71">
        <f t="shared" si="6"/>
        <v>6925251</v>
      </c>
      <c r="N35" s="71">
        <f t="shared" si="2"/>
        <v>7750547</v>
      </c>
      <c r="O35" s="71">
        <f t="shared" si="2"/>
        <v>7689791.6675401302</v>
      </c>
      <c r="Q35" s="71">
        <f t="shared" si="7"/>
        <v>6951590.3999999994</v>
      </c>
      <c r="R35" s="71">
        <f t="shared" si="3"/>
        <v>8160322.5251064673</v>
      </c>
      <c r="S35" s="71">
        <f t="shared" si="3"/>
        <v>8189838.9103383832</v>
      </c>
    </row>
    <row r="36" spans="1:19" ht="14.25">
      <c r="B36" s="72" t="s">
        <v>57</v>
      </c>
      <c r="C36" s="73"/>
      <c r="D36" s="74">
        <f t="shared" si="4"/>
        <v>3142870.4044961301</v>
      </c>
      <c r="E36" s="67" t="s">
        <v>14</v>
      </c>
      <c r="F36" s="75">
        <f t="shared" si="5"/>
        <v>3232911.6544858101</v>
      </c>
      <c r="G36" s="76">
        <f t="shared" si="0"/>
        <v>90041.249989680015</v>
      </c>
      <c r="H36" s="77">
        <f t="shared" si="1"/>
        <v>2.8649367743852478E-2</v>
      </c>
      <c r="M36" s="71">
        <f t="shared" si="6"/>
        <v>2909109</v>
      </c>
      <c r="N36" s="71">
        <f t="shared" si="2"/>
        <v>3156958</v>
      </c>
      <c r="O36" s="71">
        <f t="shared" si="2"/>
        <v>3362544.2134883902</v>
      </c>
      <c r="Q36" s="71">
        <f t="shared" si="7"/>
        <v>2988767.1105974042</v>
      </c>
      <c r="R36" s="71">
        <f t="shared" si="3"/>
        <v>3236714.6824751543</v>
      </c>
      <c r="S36" s="71">
        <f t="shared" si="3"/>
        <v>3473253.1703848708</v>
      </c>
    </row>
    <row r="37" spans="1:19" ht="15" thickBot="1">
      <c r="B37" s="78" t="s">
        <v>58</v>
      </c>
      <c r="C37" s="79"/>
      <c r="D37" s="80">
        <f t="shared" si="4"/>
        <v>4404643.8716827054</v>
      </c>
      <c r="E37" s="67" t="s">
        <v>14</v>
      </c>
      <c r="F37" s="81">
        <f t="shared" si="5"/>
        <v>4278619.4898165548</v>
      </c>
      <c r="G37" s="82">
        <f t="shared" si="0"/>
        <v>-126024.38186615054</v>
      </c>
      <c r="H37" s="83">
        <f t="shared" si="1"/>
        <v>-2.8611707447305033E-2</v>
      </c>
      <c r="M37" s="71">
        <f t="shared" si="6"/>
        <v>5018756</v>
      </c>
      <c r="N37" s="71">
        <f t="shared" si="2"/>
        <v>4730291</v>
      </c>
      <c r="O37" s="71">
        <f t="shared" si="2"/>
        <v>3464884.6150481161</v>
      </c>
      <c r="Q37" s="71">
        <f t="shared" si="7"/>
        <v>4621834.1281774295</v>
      </c>
      <c r="R37" s="71">
        <f t="shared" si="3"/>
        <v>4578532.0237998124</v>
      </c>
      <c r="S37" s="71">
        <f t="shared" si="3"/>
        <v>3635492.3174724225</v>
      </c>
    </row>
    <row r="38" spans="1:19" ht="14.25">
      <c r="B38" s="544" t="s">
        <v>191</v>
      </c>
      <c r="D38" s="63">
        <f>SUM(D28:D37)</f>
        <v>129548415.66666666</v>
      </c>
      <c r="F38" s="71">
        <f>SUM(F28:F37)</f>
        <v>129548415.99999999</v>
      </c>
      <c r="M38" s="84">
        <f>SUM(M28:M37)</f>
        <v>133266168</v>
      </c>
      <c r="N38" s="84">
        <f>SUM(N28:N37)</f>
        <v>128674210</v>
      </c>
      <c r="O38" s="84">
        <f>SUM(O28:O37)</f>
        <v>126704869.00000001</v>
      </c>
      <c r="Q38" s="85">
        <f>SUM(Q28:Q37)</f>
        <v>133266167.99999994</v>
      </c>
      <c r="R38" s="85">
        <f t="shared" ref="R38:S38" si="8">SUM(R28:R37)</f>
        <v>128674211</v>
      </c>
      <c r="S38" s="85">
        <f t="shared" si="8"/>
        <v>126704868.99999999</v>
      </c>
    </row>
    <row r="40" spans="1:19" ht="50.45" customHeight="1">
      <c r="A40" s="86" t="s">
        <v>41</v>
      </c>
      <c r="B40" s="87" t="s">
        <v>59</v>
      </c>
      <c r="C40" s="57" t="s">
        <v>59</v>
      </c>
      <c r="D40" s="58" t="s">
        <v>42</v>
      </c>
      <c r="E40" s="59"/>
      <c r="F40" s="58" t="s">
        <v>43</v>
      </c>
      <c r="G40" s="59" t="s">
        <v>44</v>
      </c>
      <c r="H40" s="58" t="s">
        <v>45</v>
      </c>
      <c r="I40" t="s">
        <v>244</v>
      </c>
      <c r="K40" s="479" t="s">
        <v>216</v>
      </c>
      <c r="M40" s="60" t="s">
        <v>46</v>
      </c>
      <c r="N40" s="60"/>
      <c r="O40" s="60"/>
      <c r="Q40" s="60" t="s">
        <v>47</v>
      </c>
      <c r="R40" s="60"/>
      <c r="S40" s="60"/>
    </row>
    <row r="41" spans="1:19" ht="0.6" customHeight="1">
      <c r="A41" s="88"/>
      <c r="B41" s="89"/>
      <c r="M41" s="90">
        <v>2024</v>
      </c>
      <c r="N41" s="90">
        <v>2025</v>
      </c>
      <c r="O41" s="90">
        <v>2026</v>
      </c>
      <c r="Q41" s="90">
        <v>2024</v>
      </c>
      <c r="R41" s="90">
        <v>2025</v>
      </c>
      <c r="S41" s="90">
        <v>2026</v>
      </c>
    </row>
    <row r="42" spans="1:19" ht="14.25">
      <c r="A42" s="90" t="s">
        <v>49</v>
      </c>
      <c r="B42" s="91" t="s">
        <v>60</v>
      </c>
      <c r="C42" s="90"/>
      <c r="D42" s="92">
        <f>AVERAGE(M42:O42)</f>
        <v>625122.73690211866</v>
      </c>
      <c r="E42" s="93" t="s">
        <v>14</v>
      </c>
      <c r="F42" s="92">
        <f>AVERAGE(Q42:S42)</f>
        <v>653355.37711795652</v>
      </c>
      <c r="G42" s="76">
        <f t="shared" ref="G42:G80" si="9">F42-D42</f>
        <v>28232.640215837862</v>
      </c>
      <c r="H42" s="94">
        <f t="shared" ref="H42:H80" si="10">G42/D42</f>
        <v>4.5163355208848392E-2</v>
      </c>
      <c r="K42" s="90" t="s">
        <v>222</v>
      </c>
      <c r="M42" s="71">
        <v>679385</v>
      </c>
      <c r="N42" s="71">
        <v>641176</v>
      </c>
      <c r="O42" s="71">
        <v>554807.21070635587</v>
      </c>
      <c r="Q42" s="71">
        <f>VLOOKUP($B42,S6C_FY2024!$B$9:$BY$48, 76, FALSE)</f>
        <v>682168.81132677174</v>
      </c>
      <c r="R42" s="71">
        <f>VLOOKUP($B42,S6C_FY2025!$B$9:$BZ$48, 77, FALSE)</f>
        <v>673452.9504600591</v>
      </c>
      <c r="S42" s="71">
        <f>VLOOKUP($B42,'S6C-FY2026'!$B$12:$BZ$49, 77, FALSE)</f>
        <v>604444.36956703861</v>
      </c>
    </row>
    <row r="43" spans="1:19" ht="14.25">
      <c r="A43" s="90" t="s">
        <v>49</v>
      </c>
      <c r="B43" s="91" t="s">
        <v>61</v>
      </c>
      <c r="C43" s="90"/>
      <c r="D43" s="92">
        <f t="shared" ref="D43:D80" si="11">AVERAGE(M43:O43)</f>
        <v>121343.8</v>
      </c>
      <c r="E43" s="93" t="s">
        <v>14</v>
      </c>
      <c r="F43" s="92">
        <f t="shared" ref="F43:F80" si="12">AVERAGE(Q43:S43)</f>
        <v>122089.58518981929</v>
      </c>
      <c r="G43" s="76">
        <f t="shared" si="9"/>
        <v>745.78518981928937</v>
      </c>
      <c r="H43" s="94">
        <f t="shared" si="10"/>
        <v>6.1460510534472245E-3</v>
      </c>
      <c r="I43" t="s">
        <v>215</v>
      </c>
      <c r="K43" s="90" t="s">
        <v>61</v>
      </c>
      <c r="M43" s="71">
        <v>135923</v>
      </c>
      <c r="N43" s="71">
        <v>119644</v>
      </c>
      <c r="O43" s="71">
        <v>108464.4</v>
      </c>
      <c r="Q43" s="71">
        <f>VLOOKUP($B43,S6C_FY2024!$B$9:$BY$48, 76, FALSE)</f>
        <v>138160.15556945791</v>
      </c>
      <c r="R43" s="71">
        <f>VLOOKUP($B43,S6C_FY2025!$B$9:$BZ$48, 77, FALSE)</f>
        <v>119644.2</v>
      </c>
      <c r="S43" s="71">
        <f>VLOOKUP($B43,'S6C-FY2026'!$B$12:$BZ$49, 77, FALSE)</f>
        <v>108464.4</v>
      </c>
    </row>
    <row r="44" spans="1:19" ht="14.25">
      <c r="A44" s="90" t="s">
        <v>49</v>
      </c>
      <c r="B44" s="91" t="s">
        <v>62</v>
      </c>
      <c r="C44" s="90"/>
      <c r="D44" s="92">
        <f t="shared" si="11"/>
        <v>742893.1932213885</v>
      </c>
      <c r="E44" s="93" t="s">
        <v>14</v>
      </c>
      <c r="F44" s="92">
        <f t="shared" si="12"/>
        <v>742471.56661249639</v>
      </c>
      <c r="G44" s="76">
        <f t="shared" si="9"/>
        <v>-421.62660889211111</v>
      </c>
      <c r="H44" s="94">
        <f t="shared" si="10"/>
        <v>-5.6754673853427382E-4</v>
      </c>
      <c r="I44" t="s">
        <v>215</v>
      </c>
      <c r="K44" s="90" t="s">
        <v>223</v>
      </c>
      <c r="M44" s="71">
        <v>787517</v>
      </c>
      <c r="N44" s="71">
        <v>760150</v>
      </c>
      <c r="O44" s="71">
        <v>681012.57966416562</v>
      </c>
      <c r="Q44" s="71">
        <f>VLOOKUP($B44,S6C_FY2024!$B$9:$BY$48, 76, FALSE)</f>
        <v>777326.95164208661</v>
      </c>
      <c r="R44" s="71">
        <f>VLOOKUP($B44,S6C_FY2025!$B$9:$BZ$48, 77, FALSE)</f>
        <v>733881.79903173714</v>
      </c>
      <c r="S44" s="71">
        <f>VLOOKUP($B44,'S6C-FY2026'!$B$12:$BZ$49, 77, FALSE)</f>
        <v>716205.94916366553</v>
      </c>
    </row>
    <row r="45" spans="1:19" ht="14.25">
      <c r="A45" s="90" t="s">
        <v>49</v>
      </c>
      <c r="B45" s="91" t="s">
        <v>63</v>
      </c>
      <c r="C45" s="90"/>
      <c r="D45" s="92">
        <f t="shared" si="11"/>
        <v>642599.53505679057</v>
      </c>
      <c r="E45" s="93" t="s">
        <v>14</v>
      </c>
      <c r="F45" s="92">
        <f t="shared" si="12"/>
        <v>647500</v>
      </c>
      <c r="G45" s="76">
        <f t="shared" si="9"/>
        <v>4900.4649432094302</v>
      </c>
      <c r="H45" s="94">
        <f t="shared" si="10"/>
        <v>7.6260013832352763E-3</v>
      </c>
      <c r="K45" s="90" t="s">
        <v>224</v>
      </c>
      <c r="M45" s="71">
        <v>650062</v>
      </c>
      <c r="N45" s="71">
        <v>645662</v>
      </c>
      <c r="O45" s="71">
        <v>632074.60517037171</v>
      </c>
      <c r="Q45" s="71">
        <f>VLOOKUP($B45,S6C_FY2024!$B$9:$BY$48, 76, FALSE)</f>
        <v>650061.9</v>
      </c>
      <c r="R45" s="71">
        <f>VLOOKUP($B45,S6C_FY2025!$B$9:$BZ$48, 77, FALSE)</f>
        <v>645662.4</v>
      </c>
      <c r="S45" s="71">
        <f>VLOOKUP($B45,'S6C-FY2026'!$B$12:$BZ$49, 77, FALSE)</f>
        <v>646775.69999999995</v>
      </c>
    </row>
    <row r="46" spans="1:19" ht="14.25">
      <c r="A46" s="90" t="s">
        <v>49</v>
      </c>
      <c r="B46" s="91" t="s">
        <v>64</v>
      </c>
      <c r="C46" s="90"/>
      <c r="D46" s="92">
        <f t="shared" si="11"/>
        <v>125488.87472202133</v>
      </c>
      <c r="E46" s="93" t="s">
        <v>14</v>
      </c>
      <c r="F46" s="92">
        <f t="shared" si="12"/>
        <v>137128.4843166603</v>
      </c>
      <c r="G46" s="76">
        <f t="shared" si="9"/>
        <v>11639.609594638969</v>
      </c>
      <c r="H46" s="94">
        <f t="shared" si="10"/>
        <v>9.2754115617202204E-2</v>
      </c>
      <c r="K46" s="90" t="s">
        <v>225</v>
      </c>
      <c r="M46" s="71">
        <v>140658</v>
      </c>
      <c r="N46" s="71">
        <v>127169</v>
      </c>
      <c r="O46" s="71">
        <v>108639.62416606396</v>
      </c>
      <c r="Q46" s="71">
        <f>VLOOKUP($B46,S6C_FY2024!$B$9:$BY$48, 76, FALSE)</f>
        <v>142818</v>
      </c>
      <c r="R46" s="71">
        <f>VLOOKUP($B46,S6C_FY2025!$B$9:$BZ$48, 77, FALSE)</f>
        <v>137868.281069613</v>
      </c>
      <c r="S46" s="71">
        <f>VLOOKUP($B46,'S6C-FY2026'!$B$12:$BZ$49, 77, FALSE)</f>
        <v>130699.17188036787</v>
      </c>
    </row>
    <row r="47" spans="1:19" ht="14.25">
      <c r="A47" s="90" t="s">
        <v>50</v>
      </c>
      <c r="B47" s="91" t="s">
        <v>65</v>
      </c>
      <c r="C47" s="90"/>
      <c r="D47" s="92">
        <f t="shared" si="11"/>
        <v>2971811.8341092449</v>
      </c>
      <c r="E47" s="93" t="s">
        <v>14</v>
      </c>
      <c r="F47" s="92">
        <f t="shared" si="12"/>
        <v>2955605.5237816013</v>
      </c>
      <c r="G47" s="76">
        <f t="shared" si="9"/>
        <v>-16206.310327643529</v>
      </c>
      <c r="H47" s="94">
        <f t="shared" si="10"/>
        <v>-5.4533433582954699E-3</v>
      </c>
      <c r="I47" t="s">
        <v>100</v>
      </c>
      <c r="K47" s="90" t="s">
        <v>226</v>
      </c>
      <c r="M47" s="71">
        <v>2759211</v>
      </c>
      <c r="N47" s="71">
        <v>2600883</v>
      </c>
      <c r="O47" s="71">
        <v>3555341.5023277341</v>
      </c>
      <c r="Q47" s="71">
        <f>VLOOKUP($B47,S6C_FY2024!$B$9:$BY$48, 76, FALSE)</f>
        <v>2759210.6999999997</v>
      </c>
      <c r="R47" s="71">
        <f>VLOOKUP($B47,S6C_FY2025!$B$9:$BZ$48, 77, FALSE)</f>
        <v>2750081.8829921298</v>
      </c>
      <c r="S47" s="71">
        <f>VLOOKUP($B47,'S6C-FY2026'!$B$12:$BZ$49, 77, FALSE)</f>
        <v>3357523.9883526759</v>
      </c>
    </row>
    <row r="48" spans="1:19" ht="14.25">
      <c r="A48" s="90" t="s">
        <v>51</v>
      </c>
      <c r="B48" s="91" t="s">
        <v>66</v>
      </c>
      <c r="C48" s="90"/>
      <c r="D48" s="92">
        <f t="shared" si="11"/>
        <v>1071485.0448851464</v>
      </c>
      <c r="E48" s="93" t="s">
        <v>14</v>
      </c>
      <c r="F48" s="92">
        <f t="shared" si="12"/>
        <v>991727.64516962832</v>
      </c>
      <c r="G48" s="76">
        <f t="shared" si="9"/>
        <v>-79757.399715518113</v>
      </c>
      <c r="H48" s="94">
        <f t="shared" si="10"/>
        <v>-7.4436316303478967E-2</v>
      </c>
      <c r="I48" t="s">
        <v>215</v>
      </c>
      <c r="K48" s="90" t="s">
        <v>227</v>
      </c>
      <c r="M48" s="71">
        <v>1083494</v>
      </c>
      <c r="N48" s="71">
        <v>1053666</v>
      </c>
      <c r="O48" s="71">
        <v>1077295.1346554393</v>
      </c>
      <c r="Q48" s="71">
        <f>VLOOKUP($B48,S6C_FY2024!$B$9:$BY$48, 76, FALSE)</f>
        <v>1021327.0925876829</v>
      </c>
      <c r="R48" s="71">
        <f>VLOOKUP($B48,S6C_FY2025!$B$9:$BZ$48, 77, FALSE)</f>
        <v>969664.9212815027</v>
      </c>
      <c r="S48" s="71">
        <f>VLOOKUP($B48,'S6C-FY2026'!$B$12:$BZ$49, 77, FALSE)</f>
        <v>984190.92163969937</v>
      </c>
    </row>
    <row r="49" spans="1:19" ht="14.25">
      <c r="A49" s="72" t="s">
        <v>52</v>
      </c>
      <c r="B49" s="91" t="s">
        <v>67</v>
      </c>
      <c r="C49" s="90"/>
      <c r="D49" s="92">
        <f t="shared" si="11"/>
        <v>430650.67377976741</v>
      </c>
      <c r="E49" s="93" t="s">
        <v>14</v>
      </c>
      <c r="F49" s="92">
        <f t="shared" si="12"/>
        <v>468026.6646545371</v>
      </c>
      <c r="G49" s="76">
        <f t="shared" si="9"/>
        <v>37375.99087476969</v>
      </c>
      <c r="H49" s="94">
        <f t="shared" si="10"/>
        <v>8.6789579467565367E-2</v>
      </c>
      <c r="I49" t="s">
        <v>215</v>
      </c>
      <c r="K49" s="90" t="s">
        <v>67</v>
      </c>
      <c r="M49" s="71">
        <v>484752</v>
      </c>
      <c r="N49" s="71">
        <v>434023</v>
      </c>
      <c r="O49" s="71">
        <v>373177.02133930218</v>
      </c>
      <c r="Q49" s="71">
        <f>VLOOKUP($B49,S6C_FY2024!$B$9:$BY$48, 76, FALSE)</f>
        <v>490423.36029795307</v>
      </c>
      <c r="R49" s="71">
        <f>VLOOKUP($B49,S6C_FY2025!$B$9:$BZ$48, 77, FALSE)</f>
        <v>462385.14455377223</v>
      </c>
      <c r="S49" s="71">
        <f>VLOOKUP($B49,'S6C-FY2026'!$B$12:$BZ$49, 77, FALSE)</f>
        <v>451271.48911188589</v>
      </c>
    </row>
    <row r="50" spans="1:19" ht="14.25">
      <c r="A50" s="72" t="s">
        <v>52</v>
      </c>
      <c r="B50" s="91" t="s">
        <v>68</v>
      </c>
      <c r="C50" s="90"/>
      <c r="D50" s="92">
        <f t="shared" si="11"/>
        <v>54768.189319748861</v>
      </c>
      <c r="E50" s="93" t="s">
        <v>14</v>
      </c>
      <c r="F50" s="92">
        <f t="shared" si="12"/>
        <v>53338.662688261938</v>
      </c>
      <c r="G50" s="76">
        <f t="shared" si="9"/>
        <v>-1429.5266314869223</v>
      </c>
      <c r="H50" s="94">
        <f t="shared" si="10"/>
        <v>-2.6101403921554318E-2</v>
      </c>
      <c r="K50" s="90" t="s">
        <v>228</v>
      </c>
      <c r="M50" s="71">
        <v>50261</v>
      </c>
      <c r="N50" s="71">
        <v>57885</v>
      </c>
      <c r="O50" s="71">
        <v>56158.567959246582</v>
      </c>
      <c r="Q50" s="71">
        <f>VLOOKUP($B50,S6C_FY2024!$B$9:$BY$48, 76, FALSE)</f>
        <v>50261.4</v>
      </c>
      <c r="R50" s="71">
        <f>VLOOKUP($B50,S6C_FY2025!$B$9:$BZ$48, 77, FALSE)</f>
        <v>56425.237378606478</v>
      </c>
      <c r="S50" s="71">
        <f>VLOOKUP($B50,'S6C-FY2026'!$B$12:$BZ$49, 77, FALSE)</f>
        <v>53329.350686179321</v>
      </c>
    </row>
    <row r="51" spans="1:19" ht="14.25">
      <c r="A51" s="72" t="s">
        <v>52</v>
      </c>
      <c r="B51" s="91" t="s">
        <v>69</v>
      </c>
      <c r="C51" s="90"/>
      <c r="D51" s="92">
        <f t="shared" si="11"/>
        <v>25537379.304951597</v>
      </c>
      <c r="E51" s="93" t="s">
        <v>14</v>
      </c>
      <c r="F51" s="92">
        <f t="shared" si="12"/>
        <v>26045101.785768759</v>
      </c>
      <c r="G51" s="76">
        <f t="shared" si="9"/>
        <v>507722.4808171615</v>
      </c>
      <c r="H51" s="94">
        <f t="shared" si="10"/>
        <v>1.9881542062490182E-2</v>
      </c>
      <c r="I51" t="s">
        <v>100</v>
      </c>
      <c r="K51" s="90" t="s">
        <v>229</v>
      </c>
      <c r="M51" s="71">
        <v>26837084</v>
      </c>
      <c r="N51" s="71">
        <v>24937766</v>
      </c>
      <c r="O51" s="71">
        <v>24837287.914854791</v>
      </c>
      <c r="Q51" s="71">
        <f>VLOOKUP($B51,S6C_FY2024!$B$9:$BY$48, 76, FALSE)</f>
        <v>27326294.797366373</v>
      </c>
      <c r="R51" s="71">
        <f>VLOOKUP($B51,S6C_FY2025!$B$9:$BZ$48, 77, FALSE)</f>
        <v>25625678.545050491</v>
      </c>
      <c r="S51" s="71">
        <f>VLOOKUP($B51,'S6C-FY2026'!$B$12:$BZ$49, 77, FALSE)</f>
        <v>25183332.0148894</v>
      </c>
    </row>
    <row r="52" spans="1:19" ht="14.25">
      <c r="A52" s="72" t="s">
        <v>52</v>
      </c>
      <c r="B52" s="91" t="s">
        <v>70</v>
      </c>
      <c r="C52" s="90"/>
      <c r="D52" s="92">
        <f t="shared" si="11"/>
        <v>371186.63436863339</v>
      </c>
      <c r="E52" s="93" t="s">
        <v>14</v>
      </c>
      <c r="F52" s="92">
        <f t="shared" si="12"/>
        <v>379553.60000000003</v>
      </c>
      <c r="G52" s="76">
        <f t="shared" si="9"/>
        <v>8366.9656313666492</v>
      </c>
      <c r="H52" s="94">
        <f t="shared" si="10"/>
        <v>2.2541128523117123E-2</v>
      </c>
      <c r="K52" s="90" t="s">
        <v>70</v>
      </c>
      <c r="M52" s="71">
        <v>360295</v>
      </c>
      <c r="N52" s="71">
        <v>374043</v>
      </c>
      <c r="O52" s="71">
        <v>379221.9031059001</v>
      </c>
      <c r="Q52" s="71">
        <f>VLOOKUP($B52,S6C_FY2024!$B$9:$BY$48, 76, FALSE)</f>
        <v>360295.2</v>
      </c>
      <c r="R52" s="71">
        <f>VLOOKUP($B52,S6C_FY2025!$B$9:$BZ$48, 77, FALSE)</f>
        <v>374042.7</v>
      </c>
      <c r="S52" s="71">
        <f>VLOOKUP($B52,'S6C-FY2026'!$B$12:$BZ$49, 77, FALSE)</f>
        <v>404322.89999999997</v>
      </c>
    </row>
    <row r="53" spans="1:19" ht="14.25">
      <c r="A53" s="72" t="s">
        <v>52</v>
      </c>
      <c r="B53" s="91" t="s">
        <v>71</v>
      </c>
      <c r="C53" s="90"/>
      <c r="D53" s="92">
        <f t="shared" si="11"/>
        <v>17018.733333333334</v>
      </c>
      <c r="E53" s="93" t="s">
        <v>14</v>
      </c>
      <c r="F53" s="92">
        <f t="shared" si="12"/>
        <v>16375.914012835789</v>
      </c>
      <c r="G53" s="76">
        <f t="shared" si="9"/>
        <v>-642.81932049754505</v>
      </c>
      <c r="H53" s="94">
        <f t="shared" si="10"/>
        <v>-3.7771278737795511E-2</v>
      </c>
      <c r="K53" s="90" t="s">
        <v>230</v>
      </c>
      <c r="M53" s="71">
        <v>17722</v>
      </c>
      <c r="N53" s="71">
        <v>11946</v>
      </c>
      <c r="O53" s="71">
        <v>21388.2</v>
      </c>
      <c r="Q53" s="71">
        <f>VLOOKUP($B53,S6C_FY2024!$B$9:$BY$48, 76, FALSE)</f>
        <v>16697.616364274076</v>
      </c>
      <c r="R53" s="71">
        <f>VLOOKUP($B53,S6C_FY2025!$B$9:$BZ$48, 77, FALSE)</f>
        <v>11041.925674233287</v>
      </c>
      <c r="S53" s="71">
        <f>VLOOKUP($B53,'S6C-FY2026'!$B$12:$BZ$49, 77, FALSE)</f>
        <v>21388.2</v>
      </c>
    </row>
    <row r="54" spans="1:19" ht="14.25">
      <c r="A54" s="72" t="s">
        <v>52</v>
      </c>
      <c r="B54" s="91" t="s">
        <v>72</v>
      </c>
      <c r="C54" s="90"/>
      <c r="D54" s="92">
        <f t="shared" si="11"/>
        <v>2281227.164313735</v>
      </c>
      <c r="E54" s="93" t="s">
        <v>14</v>
      </c>
      <c r="F54" s="92">
        <f t="shared" si="12"/>
        <v>2314483.5</v>
      </c>
      <c r="G54" s="76">
        <f t="shared" si="9"/>
        <v>33256.335686265025</v>
      </c>
      <c r="H54" s="94">
        <f t="shared" si="10"/>
        <v>1.4578265683711327E-2</v>
      </c>
      <c r="I54" t="s">
        <v>100</v>
      </c>
      <c r="K54" s="90" t="s">
        <v>231</v>
      </c>
      <c r="M54" s="71">
        <v>2239285</v>
      </c>
      <c r="N54" s="71">
        <v>2373202</v>
      </c>
      <c r="O54" s="71">
        <v>2231194.4929412054</v>
      </c>
      <c r="Q54" s="71">
        <f>VLOOKUP($B54,S6C_FY2024!$B$9:$BY$48, 76, FALSE)</f>
        <v>2239285.1999999997</v>
      </c>
      <c r="R54" s="71">
        <f>VLOOKUP($B54,S6C_FY2025!$B$9:$BZ$48, 77, FALSE)</f>
        <v>2373202.1999999997</v>
      </c>
      <c r="S54" s="71">
        <f>VLOOKUP($B54,'S6C-FY2026'!$B$12:$BZ$49, 77, FALSE)</f>
        <v>2330963.1</v>
      </c>
    </row>
    <row r="55" spans="1:19" ht="14.25">
      <c r="A55" s="90" t="s">
        <v>53</v>
      </c>
      <c r="B55" s="91" t="s">
        <v>73</v>
      </c>
      <c r="C55" s="90"/>
      <c r="D55" s="92">
        <f t="shared" si="11"/>
        <v>832018.76885929203</v>
      </c>
      <c r="E55" s="93" t="s">
        <v>14</v>
      </c>
      <c r="F55" s="92">
        <f t="shared" si="12"/>
        <v>860800.16932349291</v>
      </c>
      <c r="G55" s="76">
        <f t="shared" si="9"/>
        <v>28781.40046420088</v>
      </c>
      <c r="H55" s="94">
        <f t="shared" si="10"/>
        <v>3.4592249047050383E-2</v>
      </c>
      <c r="K55" s="90" t="s">
        <v>232</v>
      </c>
      <c r="M55" s="71">
        <v>950704</v>
      </c>
      <c r="N55" s="71">
        <v>786477</v>
      </c>
      <c r="O55" s="71">
        <v>758875.30657787633</v>
      </c>
      <c r="Q55" s="71">
        <f>VLOOKUP($B55,S6C_FY2024!$B$9:$BY$48, 76, FALSE)</f>
        <v>950703.89999999991</v>
      </c>
      <c r="R55" s="71">
        <f>VLOOKUP($B55,S6C_FY2025!$B$9:$BZ$48, 77, FALSE)</f>
        <v>799658.30842543277</v>
      </c>
      <c r="S55" s="71">
        <f>VLOOKUP($B55,'S6C-FY2026'!$B$12:$BZ$49, 77, FALSE)</f>
        <v>832038.29954504629</v>
      </c>
    </row>
    <row r="56" spans="1:19" ht="14.25">
      <c r="A56" s="90" t="s">
        <v>53</v>
      </c>
      <c r="B56" s="91" t="s">
        <v>74</v>
      </c>
      <c r="C56" s="90"/>
      <c r="D56" s="92">
        <f t="shared" si="11"/>
        <v>196263.86435138655</v>
      </c>
      <c r="E56" s="93" t="s">
        <v>14</v>
      </c>
      <c r="F56" s="92">
        <f t="shared" si="12"/>
        <v>200739.19999999998</v>
      </c>
      <c r="G56" s="76">
        <f t="shared" si="9"/>
        <v>4475.3356486134289</v>
      </c>
      <c r="H56" s="94">
        <f t="shared" si="10"/>
        <v>2.2802647157710527E-2</v>
      </c>
      <c r="K56" s="90" t="s">
        <v>74</v>
      </c>
      <c r="M56" s="71">
        <v>181796</v>
      </c>
      <c r="N56" s="71">
        <v>210911</v>
      </c>
      <c r="O56" s="71">
        <v>196084.59305415963</v>
      </c>
      <c r="Q56" s="71">
        <f>VLOOKUP($B56,S6C_FY2024!$B$9:$BY$48, 76, FALSE)</f>
        <v>181796.4</v>
      </c>
      <c r="R56" s="71">
        <f>VLOOKUP($B56,S6C_FY2025!$B$9:$BZ$48, 77, FALSE)</f>
        <v>210911.4</v>
      </c>
      <c r="S56" s="71">
        <f>VLOOKUP($B56,'S6C-FY2026'!$B$12:$BZ$49, 77, FALSE)</f>
        <v>209509.8</v>
      </c>
    </row>
    <row r="57" spans="1:19" ht="14.25">
      <c r="A57" s="90" t="s">
        <v>53</v>
      </c>
      <c r="B57" s="91" t="s">
        <v>75</v>
      </c>
      <c r="C57" s="90"/>
      <c r="D57" s="92">
        <f t="shared" si="11"/>
        <v>1703062.0409783174</v>
      </c>
      <c r="E57" s="93" t="s">
        <v>14</v>
      </c>
      <c r="F57" s="92">
        <f t="shared" si="12"/>
        <v>1921935.2357437129</v>
      </c>
      <c r="G57" s="76">
        <f t="shared" si="9"/>
        <v>218873.19476539548</v>
      </c>
      <c r="H57" s="94">
        <f t="shared" si="10"/>
        <v>0.1285174523880907</v>
      </c>
      <c r="I57" t="s">
        <v>215</v>
      </c>
      <c r="K57" s="90" t="s">
        <v>233</v>
      </c>
      <c r="M57" s="71">
        <v>1790245</v>
      </c>
      <c r="N57" s="71">
        <v>1652305</v>
      </c>
      <c r="O57" s="71">
        <v>1666636.1229349524</v>
      </c>
      <c r="Q57" s="71">
        <f>VLOOKUP($B57,S6C_FY2024!$B$9:$BY$48, 76, FALSE)</f>
        <v>2064520.6141590429</v>
      </c>
      <c r="R57" s="71">
        <f>VLOOKUP($B57,S6C_FY2025!$B$9:$BZ$48, 77, FALSE)</f>
        <v>1912229.168832175</v>
      </c>
      <c r="S57" s="71">
        <f>VLOOKUP($B57,'S6C-FY2026'!$B$12:$BZ$49, 77, FALSE)</f>
        <v>1789055.9242399209</v>
      </c>
    </row>
    <row r="58" spans="1:19" ht="14.25">
      <c r="A58" s="90" t="s">
        <v>53</v>
      </c>
      <c r="B58" s="91" t="s">
        <v>76</v>
      </c>
      <c r="C58" s="90"/>
      <c r="D58" s="92">
        <f t="shared" si="11"/>
        <v>41041.693335279859</v>
      </c>
      <c r="E58" s="93" t="s">
        <v>14</v>
      </c>
      <c r="F58" s="92">
        <f t="shared" si="12"/>
        <v>45079.69999999999</v>
      </c>
      <c r="G58" s="76">
        <f t="shared" si="9"/>
        <v>4038.0066647201311</v>
      </c>
      <c r="H58" s="94">
        <f t="shared" si="10"/>
        <v>9.8387915716163191E-2</v>
      </c>
      <c r="K58" s="90" t="s">
        <v>76</v>
      </c>
      <c r="M58" s="71">
        <v>32351</v>
      </c>
      <c r="N58" s="71">
        <v>49284</v>
      </c>
      <c r="O58" s="71">
        <v>41490.080005839591</v>
      </c>
      <c r="Q58" s="71">
        <f>VLOOKUP($B58,S6C_FY2024!$B$9:$BY$48, 76, FALSE)</f>
        <v>32350.799999999999</v>
      </c>
      <c r="R58" s="71">
        <f>VLOOKUP($B58,S6C_FY2025!$B$9:$BZ$48, 77, FALSE)</f>
        <v>53175.299999999996</v>
      </c>
      <c r="S58" s="71">
        <f>VLOOKUP($B58,'S6C-FY2026'!$B$12:$BZ$49, 77, FALSE)</f>
        <v>49713</v>
      </c>
    </row>
    <row r="59" spans="1:19" ht="14.25">
      <c r="A59" s="90" t="s">
        <v>54</v>
      </c>
      <c r="B59" s="91" t="s">
        <v>77</v>
      </c>
      <c r="C59" s="90"/>
      <c r="D59" s="92">
        <f t="shared" si="11"/>
        <v>3666511.5935658314</v>
      </c>
      <c r="E59" s="93" t="s">
        <v>14</v>
      </c>
      <c r="F59" s="92">
        <f t="shared" si="12"/>
        <v>3580871.8445331356</v>
      </c>
      <c r="G59" s="76">
        <f t="shared" si="9"/>
        <v>-85639.749032695778</v>
      </c>
      <c r="H59" s="94">
        <f t="shared" si="10"/>
        <v>-2.3357283032455285E-2</v>
      </c>
      <c r="I59" t="s">
        <v>100</v>
      </c>
      <c r="K59" s="90" t="s">
        <v>234</v>
      </c>
      <c r="M59" s="71">
        <v>3156033</v>
      </c>
      <c r="N59" s="71">
        <v>3226579</v>
      </c>
      <c r="O59" s="71">
        <v>4616922.7806974938</v>
      </c>
      <c r="Q59" s="71">
        <f>VLOOKUP($B59,S6C_FY2024!$B$9:$BY$48, 76, FALSE)</f>
        <v>3158256.3022046098</v>
      </c>
      <c r="R59" s="71">
        <f>VLOOKUP($B59,S6C_FY2025!$B$9:$BZ$48, 77, FALSE)</f>
        <v>3347570.432322117</v>
      </c>
      <c r="S59" s="71">
        <f>VLOOKUP($B59,'S6C-FY2026'!$B$12:$BZ$49, 77, FALSE)</f>
        <v>4236788.7990726791</v>
      </c>
    </row>
    <row r="60" spans="1:19" ht="14.25">
      <c r="A60" s="90" t="s">
        <v>54</v>
      </c>
      <c r="B60" s="91" t="s">
        <v>78</v>
      </c>
      <c r="C60" s="90"/>
      <c r="D60" s="92">
        <f t="shared" si="11"/>
        <v>6007985.0073328475</v>
      </c>
      <c r="E60" s="93" t="s">
        <v>14</v>
      </c>
      <c r="F60" s="92">
        <f t="shared" si="12"/>
        <v>6308168.3715907866</v>
      </c>
      <c r="G60" s="76">
        <f t="shared" si="9"/>
        <v>300183.36425793916</v>
      </c>
      <c r="H60" s="94">
        <f t="shared" si="10"/>
        <v>4.9964066803023024E-2</v>
      </c>
      <c r="I60" t="s">
        <v>100</v>
      </c>
      <c r="K60" s="90" t="s">
        <v>235</v>
      </c>
      <c r="M60" s="71">
        <v>6545690</v>
      </c>
      <c r="N60" s="71">
        <v>5574618</v>
      </c>
      <c r="O60" s="71">
        <v>5903647.0219985424</v>
      </c>
      <c r="Q60" s="71">
        <f>VLOOKUP($B60,S6C_FY2024!$B$9:$BY$48, 76, FALSE)</f>
        <v>7075081.69740305</v>
      </c>
      <c r="R60" s="71">
        <f>VLOOKUP($B60,S6C_FY2025!$B$9:$BZ$48, 77, FALSE)</f>
        <v>5882121.6186835831</v>
      </c>
      <c r="S60" s="71">
        <f>VLOOKUP($B60,'S6C-FY2026'!$B$12:$BZ$49, 77, FALSE)</f>
        <v>5967301.7986857267</v>
      </c>
    </row>
    <row r="61" spans="1:19" ht="14.25">
      <c r="A61" s="90" t="s">
        <v>54</v>
      </c>
      <c r="B61" s="91" t="s">
        <v>79</v>
      </c>
      <c r="C61" s="90"/>
      <c r="D61" s="92">
        <f t="shared" si="11"/>
        <v>9299604.085831793</v>
      </c>
      <c r="E61" s="93" t="s">
        <v>14</v>
      </c>
      <c r="F61" s="92">
        <f t="shared" si="12"/>
        <v>9245879.2878358979</v>
      </c>
      <c r="G61" s="76">
        <f t="shared" si="9"/>
        <v>-53724.797995895147</v>
      </c>
      <c r="H61" s="94">
        <f t="shared" si="10"/>
        <v>-5.7771059391384608E-3</v>
      </c>
      <c r="I61" t="s">
        <v>100</v>
      </c>
      <c r="K61" s="90" t="s">
        <v>236</v>
      </c>
      <c r="M61" s="71">
        <v>8180859</v>
      </c>
      <c r="N61" s="71">
        <v>9437848</v>
      </c>
      <c r="O61" s="71">
        <v>10280105.257495381</v>
      </c>
      <c r="Q61" s="71">
        <f>VLOOKUP($B61,S6C_FY2024!$B$9:$BY$48, 76, FALSE)</f>
        <v>8180859.2999999998</v>
      </c>
      <c r="R61" s="71">
        <f>VLOOKUP($B61,S6C_FY2025!$B$9:$BZ$48, 77, FALSE)</f>
        <v>9608533.7999999989</v>
      </c>
      <c r="S61" s="71">
        <f>VLOOKUP($B61,'S6C-FY2026'!$B$12:$BZ$49, 77, FALSE)</f>
        <v>9948244.763507694</v>
      </c>
    </row>
    <row r="62" spans="1:19" ht="14.25">
      <c r="A62" s="90" t="s">
        <v>54</v>
      </c>
      <c r="B62" s="91" t="s">
        <v>80</v>
      </c>
      <c r="C62" s="90"/>
      <c r="D62" s="92">
        <f t="shared" si="11"/>
        <v>1591498.2</v>
      </c>
      <c r="E62" s="93" t="s">
        <v>14</v>
      </c>
      <c r="F62" s="92">
        <f t="shared" si="12"/>
        <v>1620218.1616704559</v>
      </c>
      <c r="G62" s="76">
        <f t="shared" si="9"/>
        <v>28719.961670455988</v>
      </c>
      <c r="H62" s="94">
        <f t="shared" si="10"/>
        <v>1.8045865003464025E-2</v>
      </c>
      <c r="I62" t="s">
        <v>100</v>
      </c>
      <c r="K62" s="90" t="s">
        <v>237</v>
      </c>
      <c r="M62" s="71">
        <v>1539916</v>
      </c>
      <c r="N62" s="71">
        <v>1598498</v>
      </c>
      <c r="O62" s="71">
        <v>1636080.5999999999</v>
      </c>
      <c r="Q62" s="71">
        <f>VLOOKUP($B62,S6C_FY2024!$B$9:$BY$48, 76, FALSE)</f>
        <v>1626076.3850113684</v>
      </c>
      <c r="R62" s="71">
        <f>VLOOKUP($B62,S6C_FY2025!$B$9:$BZ$48, 77, FALSE)</f>
        <v>1598497.5</v>
      </c>
      <c r="S62" s="71">
        <f>VLOOKUP($B62,'S6C-FY2026'!$B$12:$BZ$49, 77, FALSE)</f>
        <v>1636080.5999999999</v>
      </c>
    </row>
    <row r="63" spans="1:19" ht="14.25">
      <c r="A63" s="90" t="s">
        <v>54</v>
      </c>
      <c r="B63" s="91" t="s">
        <v>81</v>
      </c>
      <c r="C63" s="90"/>
      <c r="D63" s="92">
        <f t="shared" si="11"/>
        <v>25729693.491986766</v>
      </c>
      <c r="E63" s="93" t="s">
        <v>14</v>
      </c>
      <c r="F63" s="92">
        <f t="shared" si="12"/>
        <v>24112895.982328665</v>
      </c>
      <c r="G63" s="76">
        <f t="shared" si="9"/>
        <v>-1616797.5096581019</v>
      </c>
      <c r="H63" s="94">
        <f t="shared" si="10"/>
        <v>-6.283780683829894E-2</v>
      </c>
      <c r="I63" t="s">
        <v>100</v>
      </c>
      <c r="K63" s="90" t="s">
        <v>238</v>
      </c>
      <c r="M63" s="71">
        <v>26403560</v>
      </c>
      <c r="N63" s="71">
        <v>26810560</v>
      </c>
      <c r="O63" s="71">
        <v>23974960.475960296</v>
      </c>
      <c r="Q63" s="71">
        <f>VLOOKUP($B63,S6C_FY2024!$B$9:$BY$48, 76, FALSE)</f>
        <v>24770211.250363905</v>
      </c>
      <c r="R63" s="71">
        <f>VLOOKUP($B63,S6C_FY2025!$B$9:$BZ$48, 77, FALSE)</f>
        <v>25001162.799620394</v>
      </c>
      <c r="S63" s="71">
        <f>VLOOKUP($B63,'S6C-FY2026'!$B$12:$BZ$49, 77, FALSE)</f>
        <v>22567313.897001695</v>
      </c>
    </row>
    <row r="64" spans="1:19" ht="14.25">
      <c r="A64" s="90" t="s">
        <v>54</v>
      </c>
      <c r="B64" s="91" t="s">
        <v>82</v>
      </c>
      <c r="C64" s="90"/>
      <c r="D64" s="92">
        <f t="shared" si="11"/>
        <v>2245850</v>
      </c>
      <c r="E64" s="93" t="s">
        <v>14</v>
      </c>
      <c r="F64" s="92">
        <f t="shared" si="12"/>
        <v>2625842.9822219783</v>
      </c>
      <c r="G64" s="76">
        <f t="shared" si="9"/>
        <v>379992.98222197825</v>
      </c>
      <c r="H64" s="94">
        <f t="shared" si="10"/>
        <v>0.16919784590332312</v>
      </c>
      <c r="K64" s="90" t="s">
        <v>243</v>
      </c>
      <c r="M64" s="71">
        <v>6737550</v>
      </c>
      <c r="N64" s="71">
        <v>0</v>
      </c>
      <c r="O64" s="71">
        <v>0</v>
      </c>
      <c r="Q64" s="71">
        <f>VLOOKUP($B64,S6C_FY2024!$B$9:$BY$48, 76, FALSE)</f>
        <v>7877528.9466659352</v>
      </c>
      <c r="R64" s="71">
        <f>VLOOKUP($B64,S6C_FY2025!$B$9:$BZ$48, 77, FALSE)</f>
        <v>0</v>
      </c>
      <c r="S64" s="71">
        <f>VLOOKUP($B64,S6C_FY2025!$B$9:$BZ$48, 77, FALSE)</f>
        <v>0</v>
      </c>
    </row>
    <row r="65" spans="1:19" ht="14.25">
      <c r="A65" s="90" t="s">
        <v>54</v>
      </c>
      <c r="B65" s="91" t="s">
        <v>83</v>
      </c>
      <c r="C65" s="90"/>
      <c r="D65" s="92">
        <f t="shared" si="11"/>
        <v>8187109.5606905362</v>
      </c>
      <c r="E65" s="93" t="s">
        <v>14</v>
      </c>
      <c r="F65" s="92">
        <f t="shared" si="12"/>
        <v>7438451.1906009652</v>
      </c>
      <c r="G65" s="76">
        <f t="shared" si="9"/>
        <v>-748658.37008957099</v>
      </c>
      <c r="H65" s="94">
        <f t="shared" si="10"/>
        <v>-9.1443550930864287E-2</v>
      </c>
      <c r="I65" t="s">
        <v>100</v>
      </c>
      <c r="K65" s="90" t="s">
        <v>83</v>
      </c>
      <c r="M65" s="71">
        <v>7934286</v>
      </c>
      <c r="N65" s="71">
        <v>7946250</v>
      </c>
      <c r="O65" s="71">
        <v>8680792.6820716076</v>
      </c>
      <c r="Q65" s="71">
        <f>VLOOKUP($B65,S6C_FY2024!$B$9:$BY$48, 76, FALSE)</f>
        <v>7397846.3802625854</v>
      </c>
      <c r="R65" s="71">
        <f>VLOOKUP($B65,S6C_FY2025!$B$9:$BZ$48, 77, FALSE)</f>
        <v>7443520.328812805</v>
      </c>
      <c r="S65" s="71">
        <f>VLOOKUP($B65,'S6C-FY2026'!$B$12:$BZ$49, 77, FALSE)</f>
        <v>7473986.8627275042</v>
      </c>
    </row>
    <row r="66" spans="1:19" ht="14.25">
      <c r="A66" s="90" t="s">
        <v>55</v>
      </c>
      <c r="B66" s="91" t="s">
        <v>84</v>
      </c>
      <c r="C66" s="90"/>
      <c r="D66" s="92">
        <f t="shared" si="11"/>
        <v>1198958.8926709832</v>
      </c>
      <c r="E66" s="93" t="s">
        <v>14</v>
      </c>
      <c r="F66" s="92">
        <f t="shared" si="12"/>
        <v>1180832.1770593463</v>
      </c>
      <c r="G66" s="76">
        <f t="shared" si="9"/>
        <v>-18126.715611636871</v>
      </c>
      <c r="H66" s="94">
        <f t="shared" si="10"/>
        <v>-1.5118713178943977E-2</v>
      </c>
      <c r="I66" t="s">
        <v>215</v>
      </c>
      <c r="K66" s="90" t="s">
        <v>239</v>
      </c>
      <c r="M66" s="71">
        <v>1224167</v>
      </c>
      <c r="N66" s="71">
        <v>1335726</v>
      </c>
      <c r="O66" s="71">
        <v>1036983.6780129499</v>
      </c>
      <c r="Q66" s="71">
        <f>VLOOKUP($B66,S6C_FY2024!$B$9:$BY$48, 76, FALSE)</f>
        <v>1224166.8</v>
      </c>
      <c r="R66" s="71">
        <f>VLOOKUP($B66,S6C_FY2025!$B$9:$BZ$48, 77, FALSE)</f>
        <v>1267340.3244299218</v>
      </c>
      <c r="S66" s="71">
        <f>VLOOKUP($B66,'S6C-FY2026'!$B$12:$BZ$49, 77, FALSE)</f>
        <v>1050989.4067481174</v>
      </c>
    </row>
    <row r="67" spans="1:19" ht="14.25">
      <c r="A67" s="90" t="s">
        <v>55</v>
      </c>
      <c r="B67" s="91" t="s">
        <v>85</v>
      </c>
      <c r="C67" s="90"/>
      <c r="D67" s="92">
        <f t="shared" si="11"/>
        <v>18853131.91607457</v>
      </c>
      <c r="E67" s="93" t="s">
        <v>14</v>
      </c>
      <c r="F67" s="92">
        <f t="shared" si="12"/>
        <v>19601161.631661668</v>
      </c>
      <c r="G67" s="76">
        <f t="shared" si="9"/>
        <v>748029.71558709815</v>
      </c>
      <c r="H67" s="94">
        <f t="shared" si="10"/>
        <v>3.9676681779822087E-2</v>
      </c>
      <c r="I67" t="s">
        <v>100</v>
      </c>
      <c r="K67" s="90" t="s">
        <v>240</v>
      </c>
      <c r="M67" s="71">
        <v>17510246</v>
      </c>
      <c r="N67" s="71">
        <v>20270143</v>
      </c>
      <c r="O67" s="71">
        <v>18779006.748223707</v>
      </c>
      <c r="Q67" s="71">
        <f>VLOOKUP($B67,S6C_FY2024!$B$9:$BY$48, 76, FALSE)</f>
        <v>17510246.399999999</v>
      </c>
      <c r="R67" s="71">
        <f>VLOOKUP($B67,S6C_FY2025!$B$9:$BZ$48, 77, FALSE)</f>
        <v>20640888.599999998</v>
      </c>
      <c r="S67" s="71">
        <f>VLOOKUP($B67,'S6C-FY2026'!$B$12:$BZ$49, 77, FALSE)</f>
        <v>20652349.894985009</v>
      </c>
    </row>
    <row r="68" spans="1:19" ht="14.25">
      <c r="A68" s="90" t="s">
        <v>56</v>
      </c>
      <c r="B68" s="91" t="s">
        <v>86</v>
      </c>
      <c r="C68" s="90"/>
      <c r="D68" s="92">
        <f t="shared" si="11"/>
        <v>3483121.4</v>
      </c>
      <c r="E68" s="93" t="s">
        <v>14</v>
      </c>
      <c r="F68" s="92">
        <f t="shared" si="12"/>
        <v>3483121.2999999993</v>
      </c>
      <c r="G68" s="76">
        <f t="shared" si="9"/>
        <v>-0.10000000055879354</v>
      </c>
      <c r="H68" s="94">
        <f t="shared" si="10"/>
        <v>-2.8709880901306956E-8</v>
      </c>
      <c r="I68" t="s">
        <v>100</v>
      </c>
      <c r="K68" s="90" t="s">
        <v>86</v>
      </c>
      <c r="M68" s="71">
        <v>3000449</v>
      </c>
      <c r="N68" s="71">
        <v>3606217</v>
      </c>
      <c r="O68" s="71">
        <v>3842698.1999999997</v>
      </c>
      <c r="Q68" s="71">
        <f>VLOOKUP($B68,S6C_FY2024!$B$9:$BY$48, 76, FALSE)</f>
        <v>3000448.5</v>
      </c>
      <c r="R68" s="71">
        <f>VLOOKUP($B68,S6C_FY2025!$B$9:$BZ$48, 77, FALSE)</f>
        <v>3606217.1999999997</v>
      </c>
      <c r="S68" s="71">
        <f>VLOOKUP($B68,'S6C-FY2026'!$B$12:$BZ$49, 77, FALSE)</f>
        <v>3842698.1999999997</v>
      </c>
    </row>
    <row r="69" spans="1:19" ht="14.25">
      <c r="A69" s="90" t="s">
        <v>56</v>
      </c>
      <c r="B69" s="91" t="s">
        <v>87</v>
      </c>
      <c r="C69" s="90"/>
      <c r="D69" s="92">
        <f t="shared" si="11"/>
        <v>501123.76901444077</v>
      </c>
      <c r="E69" s="93" t="s">
        <v>14</v>
      </c>
      <c r="F69" s="92">
        <f t="shared" si="12"/>
        <v>556824.27751083614</v>
      </c>
      <c r="G69" s="76">
        <f t="shared" si="9"/>
        <v>55700.50849639537</v>
      </c>
      <c r="H69" s="94">
        <f t="shared" si="10"/>
        <v>0.11115120044283962</v>
      </c>
      <c r="I69" t="s">
        <v>215</v>
      </c>
      <c r="K69" s="90" t="s">
        <v>87</v>
      </c>
      <c r="M69" s="71">
        <v>526130</v>
      </c>
      <c r="N69" s="71">
        <v>506115</v>
      </c>
      <c r="O69" s="71">
        <v>471126.30704332248</v>
      </c>
      <c r="Q69" s="71">
        <f>VLOOKUP($B69,S6C_FY2024!$B$9:$BY$48, 76, FALSE)</f>
        <v>527425.19999999995</v>
      </c>
      <c r="R69" s="71">
        <f>VLOOKUP($B69,S6C_FY2025!$B$9:$BZ$48, 77, FALSE)</f>
        <v>588017.36768881278</v>
      </c>
      <c r="S69" s="71">
        <f>VLOOKUP($B69,'S6C-FY2026'!$B$12:$BZ$49, 77, FALSE)</f>
        <v>555030.26484369556</v>
      </c>
    </row>
    <row r="70" spans="1:19" ht="14.25">
      <c r="A70" s="90" t="s">
        <v>56</v>
      </c>
      <c r="B70" s="91" t="s">
        <v>88</v>
      </c>
      <c r="C70" s="90"/>
      <c r="D70" s="92">
        <f t="shared" si="11"/>
        <v>3271539.9085863479</v>
      </c>
      <c r="E70" s="93" t="s">
        <v>14</v>
      </c>
      <c r="F70" s="92">
        <f t="shared" si="12"/>
        <v>3502448.2869010433</v>
      </c>
      <c r="G70" s="76">
        <f t="shared" si="9"/>
        <v>230908.37831469532</v>
      </c>
      <c r="H70" s="94">
        <f t="shared" si="10"/>
        <v>7.0580944988218777E-2</v>
      </c>
      <c r="I70" t="s">
        <v>100</v>
      </c>
      <c r="K70" s="90" t="s">
        <v>241</v>
      </c>
      <c r="M70" s="71">
        <v>3187292</v>
      </c>
      <c r="N70" s="71">
        <v>3433985</v>
      </c>
      <c r="O70" s="71">
        <v>3193342.7257590448</v>
      </c>
      <c r="Q70" s="71">
        <f>VLOOKUP($B70,S6C_FY2024!$B$9:$BY$48, 76, FALSE)</f>
        <v>3187292.4</v>
      </c>
      <c r="R70" s="71">
        <f>VLOOKUP($B70,S6C_FY2025!$B$9:$BZ$48, 77, FALSE)</f>
        <v>3745143.657417655</v>
      </c>
      <c r="S70" s="71">
        <f>VLOOKUP($B70,'S6C-FY2026'!$B$12:$BZ$49, 77, FALSE)</f>
        <v>3574908.8032854749</v>
      </c>
    </row>
    <row r="71" spans="1:19" ht="14.25">
      <c r="A71" s="90" t="s">
        <v>56</v>
      </c>
      <c r="B71" s="91" t="s">
        <v>89</v>
      </c>
      <c r="C71" s="90"/>
      <c r="D71" s="92">
        <f t="shared" si="11"/>
        <v>199411.47824592108</v>
      </c>
      <c r="E71" s="93" t="s">
        <v>14</v>
      </c>
      <c r="F71" s="92">
        <f t="shared" si="12"/>
        <v>224856.74740307106</v>
      </c>
      <c r="G71" s="76">
        <f t="shared" si="9"/>
        <v>25445.269157149974</v>
      </c>
      <c r="H71" s="94">
        <f t="shared" si="10"/>
        <v>0.12760182804407075</v>
      </c>
      <c r="K71" s="90" t="s">
        <v>89</v>
      </c>
      <c r="M71" s="71">
        <v>211380</v>
      </c>
      <c r="N71" s="71">
        <v>204230</v>
      </c>
      <c r="O71" s="71">
        <v>182624.43473776325</v>
      </c>
      <c r="Q71" s="71">
        <f>VLOOKUP($B71,S6C_FY2024!$B$9:$BY$48, 76, FALSE)</f>
        <v>236424.3</v>
      </c>
      <c r="R71" s="71">
        <f>VLOOKUP($B71,S6C_FY2025!$B$9:$BZ$48, 77, FALSE)</f>
        <v>220944.3</v>
      </c>
      <c r="S71" s="71">
        <f>VLOOKUP($B71,'S6C-FY2026'!$B$12:$BZ$49, 77, FALSE)</f>
        <v>217201.64220921326</v>
      </c>
    </row>
    <row r="72" spans="1:19" ht="14.25">
      <c r="A72" s="90" t="s">
        <v>57</v>
      </c>
      <c r="B72" s="91" t="s">
        <v>90</v>
      </c>
      <c r="C72" s="90"/>
      <c r="D72" s="92">
        <f t="shared" si="11"/>
        <v>657710.18017678906</v>
      </c>
      <c r="E72" s="93" t="s">
        <v>14</v>
      </c>
      <c r="F72" s="92">
        <f t="shared" si="12"/>
        <v>745223.11356687185</v>
      </c>
      <c r="G72" s="76">
        <f t="shared" si="9"/>
        <v>87512.933390082791</v>
      </c>
      <c r="H72" s="94">
        <f t="shared" si="10"/>
        <v>0.13305698471408756</v>
      </c>
      <c r="I72" t="s">
        <v>215</v>
      </c>
      <c r="K72" s="90" t="s">
        <v>242</v>
      </c>
      <c r="M72" s="71">
        <v>693794</v>
      </c>
      <c r="N72" s="71">
        <v>661136</v>
      </c>
      <c r="O72" s="71">
        <v>618200.54053036741</v>
      </c>
      <c r="Q72" s="71">
        <f>VLOOKUP($B72,S6C_FY2024!$B$9:$BY$48, 76, FALSE)</f>
        <v>773452.21059740416</v>
      </c>
      <c r="R72" s="71">
        <f>VLOOKUP($B72,S6C_FY2025!$B$9:$BZ$48, 77, FALSE)</f>
        <v>753347.56852768874</v>
      </c>
      <c r="S72" s="71">
        <f>VLOOKUP($B72,'S6C-FY2026'!$B$12:$BZ$49, 77, FALSE)</f>
        <v>708869.56157552265</v>
      </c>
    </row>
    <row r="73" spans="1:19" ht="14.25">
      <c r="A73" s="90" t="s">
        <v>57</v>
      </c>
      <c r="B73" s="91" t="s">
        <v>91</v>
      </c>
      <c r="C73" s="90"/>
      <c r="D73" s="92">
        <f t="shared" si="11"/>
        <v>1997492.8666666665</v>
      </c>
      <c r="E73" s="93" t="s">
        <v>14</v>
      </c>
      <c r="F73" s="92">
        <f t="shared" si="12"/>
        <v>1997493</v>
      </c>
      <c r="G73" s="76">
        <f t="shared" si="9"/>
        <v>0.13333333353511989</v>
      </c>
      <c r="H73" s="94">
        <f t="shared" si="10"/>
        <v>6.6750342772247821E-8</v>
      </c>
      <c r="I73" t="s">
        <v>215</v>
      </c>
      <c r="K73" s="90" t="s">
        <v>92</v>
      </c>
      <c r="M73" s="71">
        <v>1788201</v>
      </c>
      <c r="N73" s="71">
        <v>1973597</v>
      </c>
      <c r="O73" s="71">
        <v>2230680.6</v>
      </c>
      <c r="Q73" s="71">
        <f>VLOOKUP($B73,S6C_FY2024!$B$9:$BY$48, 76, FALSE)</f>
        <v>1788201</v>
      </c>
      <c r="R73" s="71">
        <f>VLOOKUP($B73,S6C_FY2025!$B$9:$BZ$48, 77, FALSE)</f>
        <v>1973597.4</v>
      </c>
      <c r="S73" s="71">
        <f>VLOOKUP($B73,'S6C-FY2026'!$B$12:$BZ$49, 77, FALSE)</f>
        <v>2230680.6</v>
      </c>
    </row>
    <row r="74" spans="1:19" ht="14.25">
      <c r="A74" s="90" t="s">
        <v>57</v>
      </c>
      <c r="B74" s="91" t="s">
        <v>93</v>
      </c>
      <c r="C74" s="90"/>
      <c r="D74" s="92">
        <f t="shared" si="11"/>
        <v>487667.35765267425</v>
      </c>
      <c r="E74" s="93" t="s">
        <v>14</v>
      </c>
      <c r="F74" s="92">
        <f t="shared" si="12"/>
        <v>490195.54091893788</v>
      </c>
      <c r="G74" s="76">
        <f t="shared" si="9"/>
        <v>2528.1832662636298</v>
      </c>
      <c r="H74" s="94">
        <f t="shared" si="10"/>
        <v>5.1842372194700979E-3</v>
      </c>
      <c r="I74" t="s">
        <v>215</v>
      </c>
      <c r="K74" s="90" t="s">
        <v>93</v>
      </c>
      <c r="M74" s="71">
        <v>427114</v>
      </c>
      <c r="N74" s="71">
        <v>522225</v>
      </c>
      <c r="O74" s="71">
        <v>513663.07295802294</v>
      </c>
      <c r="Q74" s="71">
        <f>VLOOKUP($B74,S6C_FY2024!$B$9:$BY$48, 76, FALSE)</f>
        <v>427113.89999999997</v>
      </c>
      <c r="R74" s="71">
        <f>VLOOKUP($B74,S6C_FY2025!$B$9:$BZ$48, 77, FALSE)</f>
        <v>509769.71394746541</v>
      </c>
      <c r="S74" s="71">
        <f>VLOOKUP($B74,'S6C-FY2026'!$B$12:$BZ$49, 77, FALSE)</f>
        <v>533703.00880934822</v>
      </c>
    </row>
    <row r="75" spans="1:19" ht="14.25">
      <c r="A75" s="90" t="s">
        <v>58</v>
      </c>
      <c r="B75" s="91" t="s">
        <v>94</v>
      </c>
      <c r="C75" s="90"/>
      <c r="D75" s="92">
        <f t="shared" si="11"/>
        <v>1190937.3236635181</v>
      </c>
      <c r="E75" s="93" t="s">
        <v>14</v>
      </c>
      <c r="F75" s="92">
        <f t="shared" si="12"/>
        <v>1186282.0634601032</v>
      </c>
      <c r="G75" s="76">
        <f t="shared" si="9"/>
        <v>-4655.2602034148294</v>
      </c>
      <c r="H75" s="94">
        <f t="shared" si="10"/>
        <v>-3.9089044493915825E-3</v>
      </c>
      <c r="K75" s="90" t="s">
        <v>94</v>
      </c>
      <c r="M75" s="71">
        <v>1391292</v>
      </c>
      <c r="N75" s="71">
        <v>1179698</v>
      </c>
      <c r="O75" s="71">
        <v>1001821.9709905545</v>
      </c>
      <c r="Q75" s="71">
        <f>VLOOKUP($B75,S6C_FY2024!$B$9:$BY$48, 76, FALSE)</f>
        <v>1270462.1263519444</v>
      </c>
      <c r="R75" s="71">
        <f>VLOOKUP($B75,S6C_FY2025!$B$9:$BZ$48, 77, FALSE)</f>
        <v>1167067.9874098042</v>
      </c>
      <c r="S75" s="71">
        <f>VLOOKUP($B75,'S6C-FY2026'!$B$12:$BZ$49, 77, FALSE)</f>
        <v>1121316.0766185613</v>
      </c>
    </row>
    <row r="76" spans="1:19" ht="14.25">
      <c r="A76" s="90" t="s">
        <v>58</v>
      </c>
      <c r="B76" s="91" t="s">
        <v>95</v>
      </c>
      <c r="C76" s="90"/>
      <c r="D76" s="92">
        <f t="shared" si="11"/>
        <v>189467.63333333333</v>
      </c>
      <c r="E76" s="93" t="s">
        <v>14</v>
      </c>
      <c r="F76" s="92">
        <f t="shared" si="12"/>
        <v>189467.80000000002</v>
      </c>
      <c r="G76" s="76">
        <f t="shared" si="9"/>
        <v>0.16666666668606922</v>
      </c>
      <c r="H76" s="94">
        <f t="shared" si="10"/>
        <v>8.796577217642761E-7</v>
      </c>
      <c r="K76" s="90" t="s">
        <v>95</v>
      </c>
      <c r="M76" s="71">
        <v>172014</v>
      </c>
      <c r="N76" s="71">
        <v>214936</v>
      </c>
      <c r="O76" s="71">
        <v>181452.9</v>
      </c>
      <c r="Q76" s="71">
        <f>VLOOKUP($B76,S6C_FY2024!$B$9:$BY$48, 76, FALSE)</f>
        <v>172014.3</v>
      </c>
      <c r="R76" s="71">
        <f>VLOOKUP($B76,S6C_FY2025!$B$9:$BZ$48, 77, FALSE)</f>
        <v>214936.19999999998</v>
      </c>
      <c r="S76" s="71">
        <f>VLOOKUP($B76,'S6C-FY2026'!$B$12:$BZ$49, 77, FALSE)</f>
        <v>181452.9</v>
      </c>
    </row>
    <row r="77" spans="1:19" ht="14.25">
      <c r="A77" s="90" t="s">
        <v>58</v>
      </c>
      <c r="B77" s="91" t="s">
        <v>96</v>
      </c>
      <c r="C77" s="90"/>
      <c r="D77" s="92">
        <f t="shared" si="11"/>
        <v>1563531.1897689884</v>
      </c>
      <c r="E77" s="93" t="s">
        <v>14</v>
      </c>
      <c r="F77" s="92">
        <f t="shared" si="12"/>
        <v>1400498.5549354877</v>
      </c>
      <c r="G77" s="76">
        <f t="shared" si="9"/>
        <v>-163032.63483350072</v>
      </c>
      <c r="H77" s="94">
        <f t="shared" si="10"/>
        <v>-0.10427207074621184</v>
      </c>
      <c r="I77" t="s">
        <v>215</v>
      </c>
      <c r="K77" s="90" t="s">
        <v>96</v>
      </c>
      <c r="M77" s="71">
        <v>1854386</v>
      </c>
      <c r="N77" s="71">
        <v>1873883</v>
      </c>
      <c r="O77" s="71">
        <v>962324.56930696522</v>
      </c>
      <c r="Q77" s="71">
        <f>VLOOKUP($B77,S6C_FY2024!$B$9:$BY$48, 76, FALSE)</f>
        <v>1611835.0217557601</v>
      </c>
      <c r="R77" s="71">
        <f>VLOOKUP($B77,S6C_FY2025!$B$9:$BZ$48, 77, FALSE)</f>
        <v>1690752.4334685521</v>
      </c>
      <c r="S77" s="71">
        <f>VLOOKUP($B77,'S6C-FY2026'!$B$12:$BZ$49, 77, FALSE)</f>
        <v>898908.20958215103</v>
      </c>
    </row>
    <row r="78" spans="1:19" ht="14.25">
      <c r="A78" s="90" t="s">
        <v>58</v>
      </c>
      <c r="B78" s="91" t="s">
        <v>97</v>
      </c>
      <c r="C78" s="90"/>
      <c r="D78" s="92">
        <f t="shared" si="11"/>
        <v>53872.552240582278</v>
      </c>
      <c r="E78" s="93" t="s">
        <v>14</v>
      </c>
      <c r="F78" s="92">
        <f t="shared" si="12"/>
        <v>60191.551372275688</v>
      </c>
      <c r="G78" s="76">
        <f t="shared" si="9"/>
        <v>6318.9991316934102</v>
      </c>
      <c r="H78" s="94">
        <f t="shared" si="10"/>
        <v>0.11729533628691344</v>
      </c>
      <c r="K78" s="90" t="s">
        <v>97</v>
      </c>
      <c r="M78" s="71">
        <v>48603</v>
      </c>
      <c r="N78" s="71">
        <v>51181</v>
      </c>
      <c r="O78" s="71">
        <v>61833.656721746825</v>
      </c>
      <c r="Q78" s="71">
        <f>VLOOKUP($B78,S6C_FY2024!$B$9:$BY$48, 76, FALSE)</f>
        <v>48603</v>
      </c>
      <c r="R78" s="71">
        <f>VLOOKUP($B78,S6C_FY2025!$B$9:$BZ$48, 77, FALSE)</f>
        <v>51180.9</v>
      </c>
      <c r="S78" s="71">
        <f>VLOOKUP($B78,'S6C-FY2026'!$B$12:$BZ$49, 77, FALSE)</f>
        <v>80790.754116827055</v>
      </c>
    </row>
    <row r="79" spans="1:19" ht="14.25">
      <c r="A79" s="90" t="s">
        <v>58</v>
      </c>
      <c r="B79" s="91" t="s">
        <v>98</v>
      </c>
      <c r="C79" s="90"/>
      <c r="D79" s="92">
        <f t="shared" si="11"/>
        <v>324336.18210457283</v>
      </c>
      <c r="E79" s="93" t="s">
        <v>14</v>
      </c>
      <c r="F79" s="92">
        <f t="shared" si="12"/>
        <v>329195.08014242235</v>
      </c>
      <c r="G79" s="76">
        <f t="shared" si="9"/>
        <v>4858.898037849518</v>
      </c>
      <c r="H79" s="94">
        <f t="shared" si="10"/>
        <v>1.4981054553706581E-2</v>
      </c>
      <c r="K79" s="90" t="s">
        <v>98</v>
      </c>
      <c r="M79" s="71">
        <v>358161</v>
      </c>
      <c r="N79" s="71">
        <v>324509</v>
      </c>
      <c r="O79" s="71">
        <v>290338.54631371854</v>
      </c>
      <c r="Q79" s="71">
        <f>VLOOKUP($B79,S6C_FY2024!$B$9:$BY$48, 76, FALSE)</f>
        <v>353068.90835706651</v>
      </c>
      <c r="R79" s="71">
        <f>VLOOKUP($B79,S6C_FY2025!$B$9:$BZ$48, 77, FALSE)</f>
        <v>330677.55605254276</v>
      </c>
      <c r="S79" s="71">
        <f>VLOOKUP($B79,'S6C-FY2026'!$B$12:$BZ$49, 77, FALSE)</f>
        <v>303838.77601765771</v>
      </c>
    </row>
    <row r="80" spans="1:19" ht="15" thickBot="1">
      <c r="A80" s="96" t="s">
        <v>58</v>
      </c>
      <c r="B80" s="97" t="s">
        <v>99</v>
      </c>
      <c r="C80" s="96"/>
      <c r="D80" s="98">
        <f t="shared" si="11"/>
        <v>1082498.9905717103</v>
      </c>
      <c r="E80" s="99" t="s">
        <v>14</v>
      </c>
      <c r="F80" s="98">
        <f t="shared" si="12"/>
        <v>1112984.4399062658</v>
      </c>
      <c r="G80" s="100">
        <f t="shared" si="9"/>
        <v>30485.449334555538</v>
      </c>
      <c r="H80" s="101">
        <f t="shared" si="10"/>
        <v>2.816210416829578E-2</v>
      </c>
      <c r="K80" s="90" t="s">
        <v>99</v>
      </c>
      <c r="M80" s="71">
        <v>1194300</v>
      </c>
      <c r="N80" s="71">
        <v>1086084</v>
      </c>
      <c r="O80" s="71">
        <v>967112.97171513084</v>
      </c>
      <c r="Q80" s="71">
        <f>VLOOKUP($B80,S6C_FY2024!$B$9:$BY$48, 76, FALSE)</f>
        <v>1165850.7717126587</v>
      </c>
      <c r="R80" s="71">
        <f>VLOOKUP($B80,S6C_FY2025!$B$9:$BZ$48, 77, FALSE)</f>
        <v>1123916.9468689137</v>
      </c>
      <c r="S80" s="71">
        <f>VLOOKUP($B80,'S6C-FY2026'!$B$12:$BZ$49, 77, FALSE)</f>
        <v>1049185.6011372253</v>
      </c>
    </row>
    <row r="81" spans="1:19" ht="13.5" thickTop="1">
      <c r="A81" s="102"/>
      <c r="B81" s="545" t="s">
        <v>191</v>
      </c>
      <c r="C81" s="102"/>
      <c r="D81" s="103">
        <f>SUM(D42:D80)</f>
        <v>129548415.6666667</v>
      </c>
      <c r="E81" s="102"/>
      <c r="F81" s="103">
        <f>SUM(F42:F80)</f>
        <v>129548415.99999997</v>
      </c>
      <c r="G81" s="104"/>
      <c r="H81" s="105"/>
      <c r="M81" s="84">
        <f>SUM(M42:M80)</f>
        <v>133266168</v>
      </c>
      <c r="N81" s="84">
        <f>SUM(N42:N80)</f>
        <v>128674210</v>
      </c>
      <c r="O81" s="84">
        <f>SUM(O42:O80)</f>
        <v>126704869.00000003</v>
      </c>
      <c r="Q81" s="84">
        <f>SUM(Q42:Q80)</f>
        <v>133266167.99999991</v>
      </c>
      <c r="R81" s="84">
        <f t="shared" ref="R81:S81" si="13">SUM(R42:R80)</f>
        <v>128674210.99999999</v>
      </c>
      <c r="S81" s="84">
        <f t="shared" si="13"/>
        <v>126704868.99999999</v>
      </c>
    </row>
    <row r="83" spans="1:19" ht="14.25">
      <c r="B83" s="106" t="s">
        <v>100</v>
      </c>
      <c r="D83" s="63">
        <f>SUMIF($I$42:$I$80, "Large Urban", D42:D80)</f>
        <v>110880613.46744327</v>
      </c>
      <c r="F83" s="63">
        <f>SUMIF($I$42:$I$80, "Large Urban", F42:F80)</f>
        <v>110208406.86667296</v>
      </c>
      <c r="G83" s="76">
        <f t="shared" ref="G83:G84" si="14">F83-D83</f>
        <v>-672206.60077030957</v>
      </c>
      <c r="H83" s="95">
        <f>G83/D83</f>
        <v>-6.0624358014368549E-3</v>
      </c>
      <c r="K83" t="s">
        <v>100</v>
      </c>
      <c r="M83" s="63">
        <f>SUMIF($I$42:$I$80, "Large Urban", M42:M80)</f>
        <v>109293911</v>
      </c>
      <c r="N83" s="63">
        <f>SUMIF($I$42:$I$80, "Large Urban", N42:N80)</f>
        <v>111816549</v>
      </c>
      <c r="O83" s="63">
        <f>SUMIF($I$42:$I$80, "Large Urban", O42:O80)</f>
        <v>111531380.4023298</v>
      </c>
      <c r="Q83" s="63">
        <f>SUMIF($I$42:$I$80, "Large Urban", Q42:Q80)</f>
        <v>108231109.31261188</v>
      </c>
      <c r="R83" s="63">
        <f>SUMIF($I$42:$I$80, "Large Urban", R42:R80)</f>
        <v>111622618.56489918</v>
      </c>
      <c r="S83" s="63">
        <f>SUMIF($I$42:$I$80, "Large Urban", S42:S80)</f>
        <v>110771492.72250786</v>
      </c>
    </row>
    <row r="84" spans="1:19" ht="14.25">
      <c r="B84" s="106" t="s">
        <v>101</v>
      </c>
      <c r="D84" s="63">
        <f>D81-D83</f>
        <v>18667802.199223429</v>
      </c>
      <c r="F84" s="63">
        <f>F81-F83</f>
        <v>19340009.133327007</v>
      </c>
      <c r="G84" s="76">
        <f t="shared" si="14"/>
        <v>672206.93410357833</v>
      </c>
      <c r="H84" s="95">
        <f>G84/D84</f>
        <v>3.6008895258786373E-2</v>
      </c>
      <c r="K84" t="s">
        <v>101</v>
      </c>
      <c r="M84" s="63">
        <f>M81-M83</f>
        <v>23972257</v>
      </c>
      <c r="N84" s="63">
        <f>N81-N83</f>
        <v>16857661</v>
      </c>
      <c r="O84" s="63">
        <f>O81-O83</f>
        <v>15173488.597670227</v>
      </c>
      <c r="Q84" s="63">
        <f>Q81-Q83</f>
        <v>25035058.687388033</v>
      </c>
      <c r="R84" s="63">
        <f>R81-R83</f>
        <v>17051592.435100809</v>
      </c>
      <c r="S84" s="63">
        <f>S81-S83</f>
        <v>15933376.277492121</v>
      </c>
    </row>
  </sheetData>
  <conditionalFormatting sqref="C28:C37">
    <cfRule type="cellIs" dxfId="40" priority="79" operator="lessThan">
      <formula>-200000</formula>
    </cfRule>
    <cfRule type="cellIs" dxfId="39" priority="80" operator="greaterThan">
      <formula>200000</formula>
    </cfRule>
  </conditionalFormatting>
  <conditionalFormatting sqref="E8:E24">
    <cfRule type="cellIs" dxfId="38" priority="81" operator="equal">
      <formula>"S5"</formula>
    </cfRule>
    <cfRule type="cellIs" dxfId="37" priority="82" operator="equal">
      <formula>"S6"</formula>
    </cfRule>
    <cfRule type="cellIs" dxfId="36" priority="89" operator="equal">
      <formula>"S4"</formula>
    </cfRule>
    <cfRule type="cellIs" dxfId="35" priority="90" operator="equal">
      <formula>"S3"</formula>
    </cfRule>
    <cfRule type="cellIs" dxfId="34" priority="91" operator="equal">
      <formula>"S2"</formula>
    </cfRule>
    <cfRule type="cellIs" dxfId="33" priority="92" operator="equal">
      <formula>"S1"</formula>
    </cfRule>
  </conditionalFormatting>
  <conditionalFormatting sqref="E28:E37">
    <cfRule type="cellIs" dxfId="32" priority="71" operator="equal">
      <formula>"S5"</formula>
    </cfRule>
    <cfRule type="cellIs" dxfId="31" priority="72" operator="equal">
      <formula>"S6"</formula>
    </cfRule>
    <cfRule type="cellIs" dxfId="30" priority="73" operator="equal">
      <formula>"S4"</formula>
    </cfRule>
    <cfRule type="cellIs" dxfId="29" priority="74" operator="equal">
      <formula>"S3"</formula>
    </cfRule>
    <cfRule type="cellIs" dxfId="28" priority="75" operator="equal">
      <formula>"S2"</formula>
    </cfRule>
    <cfRule type="cellIs" dxfId="27" priority="76" operator="equal">
      <formula>"S1"</formula>
    </cfRule>
  </conditionalFormatting>
  <conditionalFormatting sqref="E42:E80">
    <cfRule type="cellIs" dxfId="26" priority="65" operator="equal">
      <formula>"S5"</formula>
    </cfRule>
    <cfRule type="cellIs" dxfId="25" priority="66" operator="equal">
      <formula>"S6"</formula>
    </cfRule>
    <cfRule type="cellIs" dxfId="24" priority="67" operator="equal">
      <formula>"S4"</formula>
    </cfRule>
    <cfRule type="cellIs" dxfId="23" priority="68" operator="equal">
      <formula>"S3"</formula>
    </cfRule>
    <cfRule type="cellIs" dxfId="22" priority="69" operator="equal">
      <formula>"S2"</formula>
    </cfRule>
    <cfRule type="cellIs" dxfId="21" priority="70" operator="equal">
      <formula>"S1"</formula>
    </cfRule>
  </conditionalFormatting>
  <conditionalFormatting sqref="F8:F24">
    <cfRule type="cellIs" dxfId="20" priority="83" operator="notEqual">
      <formula>$D8</formula>
    </cfRule>
  </conditionalFormatting>
  <conditionalFormatting sqref="G28:G37">
    <cfRule type="cellIs" dxfId="19" priority="77" operator="lessThan">
      <formula>-200000</formula>
    </cfRule>
    <cfRule type="cellIs" dxfId="18" priority="78" operator="greaterThan">
      <formula>200000</formula>
    </cfRule>
  </conditionalFormatting>
  <conditionalFormatting sqref="G42:G80">
    <cfRule type="cellIs" dxfId="17" priority="63" operator="lessThan">
      <formula>-200000</formula>
    </cfRule>
    <cfRule type="cellIs" dxfId="16" priority="64" operator="greaterThan">
      <formula>200000</formula>
    </cfRule>
  </conditionalFormatting>
  <conditionalFormatting sqref="G83:G84">
    <cfRule type="cellIs" dxfId="15" priority="61" operator="lessThan">
      <formula>-200000</formula>
    </cfRule>
    <cfRule type="cellIs" dxfId="14" priority="62" operator="greaterThan">
      <formula>200000</formula>
    </cfRule>
  </conditionalFormatting>
  <conditionalFormatting sqref="F3:F7">
    <cfRule type="expression" dxfId="13" priority="93">
      <formula>#REF!=#REF!</formula>
    </cfRule>
    <cfRule type="cellIs" dxfId="12" priority="94" operator="equal">
      <formula>"S4"</formula>
    </cfRule>
    <cfRule type="cellIs" dxfId="11" priority="95" operator="equal">
      <formula>"S3"</formula>
    </cfRule>
    <cfRule type="cellIs" dxfId="10" priority="96" operator="equal">
      <formula>"S2"</formula>
    </cfRule>
    <cfRule type="cellIs" dxfId="9" priority="97" operator="equal">
      <formula>"S1"</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35FF5-0F2C-46B7-BBD5-1BF95E7D657F}">
  <sheetPr>
    <pageSetUpPr fitToPage="1"/>
  </sheetPr>
  <dimension ref="A1:F44"/>
  <sheetViews>
    <sheetView zoomScaleNormal="100" workbookViewId="0"/>
  </sheetViews>
  <sheetFormatPr defaultColWidth="9.42578125" defaultRowHeight="14.25"/>
  <cols>
    <col min="1" max="1" width="46.5703125" style="264" bestFit="1" customWidth="1"/>
    <col min="2" max="4" width="15.5703125" style="295" customWidth="1"/>
    <col min="5" max="6" width="15.5703125" style="264" customWidth="1"/>
    <col min="7" max="16384" width="9.42578125" style="264"/>
  </cols>
  <sheetData>
    <row r="1" spans="1:6" ht="15" thickBot="1">
      <c r="B1" s="265">
        <v>2019</v>
      </c>
      <c r="C1" s="265">
        <v>2021</v>
      </c>
      <c r="D1" s="265">
        <v>2022</v>
      </c>
      <c r="E1" s="265">
        <v>2023</v>
      </c>
    </row>
    <row r="2" spans="1:6">
      <c r="A2" s="267" t="s">
        <v>190</v>
      </c>
      <c r="B2" s="268" t="s">
        <v>15</v>
      </c>
      <c r="C2" s="268" t="s">
        <v>15</v>
      </c>
      <c r="D2" s="268" t="s">
        <v>15</v>
      </c>
      <c r="E2" s="268" t="s">
        <v>15</v>
      </c>
      <c r="F2" s="270"/>
    </row>
    <row r="3" spans="1:6">
      <c r="A3" s="271" t="s">
        <v>60</v>
      </c>
      <c r="B3" s="273">
        <v>155198</v>
      </c>
      <c r="C3" s="272">
        <v>88190</v>
      </c>
      <c r="D3" s="273">
        <v>97489</v>
      </c>
      <c r="E3" s="274">
        <v>121717</v>
      </c>
      <c r="F3" s="276" t="s">
        <v>49</v>
      </c>
    </row>
    <row r="4" spans="1:6">
      <c r="A4" s="271" t="s">
        <v>61</v>
      </c>
      <c r="B4" s="273">
        <v>53329</v>
      </c>
      <c r="C4" s="272">
        <v>14932</v>
      </c>
      <c r="D4" s="273">
        <v>35313</v>
      </c>
      <c r="E4" s="274">
        <v>43762</v>
      </c>
      <c r="F4" s="276" t="s">
        <v>49</v>
      </c>
    </row>
    <row r="5" spans="1:6">
      <c r="A5" s="271" t="s">
        <v>62</v>
      </c>
      <c r="B5" s="273">
        <v>167736</v>
      </c>
      <c r="C5" s="272">
        <v>118746</v>
      </c>
      <c r="D5" s="273">
        <v>135181</v>
      </c>
      <c r="E5" s="274">
        <v>162649</v>
      </c>
      <c r="F5" s="276" t="s">
        <v>49</v>
      </c>
    </row>
    <row r="6" spans="1:6">
      <c r="A6" s="271" t="s">
        <v>63</v>
      </c>
      <c r="B6" s="273">
        <v>98383</v>
      </c>
      <c r="C6" s="272">
        <v>47469</v>
      </c>
      <c r="D6" s="273">
        <v>100658</v>
      </c>
      <c r="E6" s="274">
        <v>131743</v>
      </c>
      <c r="F6" s="276" t="s">
        <v>49</v>
      </c>
    </row>
    <row r="7" spans="1:6">
      <c r="A7" s="271" t="s">
        <v>64</v>
      </c>
      <c r="B7" s="273">
        <v>45092</v>
      </c>
      <c r="C7" s="272">
        <v>31626</v>
      </c>
      <c r="D7" s="273">
        <v>29128</v>
      </c>
      <c r="E7" s="274">
        <v>31171</v>
      </c>
      <c r="F7" s="276" t="s">
        <v>49</v>
      </c>
    </row>
    <row r="8" spans="1:6">
      <c r="A8" s="271" t="s">
        <v>65</v>
      </c>
      <c r="B8" s="280">
        <v>1871952</v>
      </c>
      <c r="C8" s="272">
        <v>617010</v>
      </c>
      <c r="D8" s="280">
        <v>1154287</v>
      </c>
      <c r="E8" s="281">
        <v>1147018</v>
      </c>
      <c r="F8" s="276" t="s">
        <v>50</v>
      </c>
    </row>
    <row r="9" spans="1:6">
      <c r="A9" s="460"/>
      <c r="B9" s="461" t="s">
        <v>212</v>
      </c>
      <c r="C9" s="462" t="s">
        <v>212</v>
      </c>
      <c r="D9" s="461" t="s">
        <v>212</v>
      </c>
      <c r="E9" s="461"/>
      <c r="F9" s="463"/>
    </row>
    <row r="10" spans="1:6">
      <c r="A10" s="271" t="s">
        <v>66</v>
      </c>
      <c r="B10" s="280">
        <v>296632</v>
      </c>
      <c r="C10" s="272">
        <v>142040</v>
      </c>
      <c r="D10" s="280">
        <v>179874</v>
      </c>
      <c r="E10" s="281">
        <v>288349</v>
      </c>
      <c r="F10" s="276" t="s">
        <v>51</v>
      </c>
    </row>
    <row r="11" spans="1:6">
      <c r="A11" s="271" t="s">
        <v>67</v>
      </c>
      <c r="B11" s="280">
        <v>130410</v>
      </c>
      <c r="C11" s="272">
        <v>108658</v>
      </c>
      <c r="D11" s="280">
        <v>75266</v>
      </c>
      <c r="E11" s="281">
        <v>75077</v>
      </c>
      <c r="F11" s="276" t="s">
        <v>104</v>
      </c>
    </row>
    <row r="12" spans="1:6">
      <c r="A12" s="271" t="s">
        <v>68</v>
      </c>
      <c r="B12" s="280">
        <v>7825</v>
      </c>
      <c r="C12" s="272">
        <v>4105</v>
      </c>
      <c r="D12" s="280">
        <v>5437</v>
      </c>
      <c r="E12" s="281">
        <v>10861</v>
      </c>
      <c r="F12" s="276" t="s">
        <v>104</v>
      </c>
    </row>
    <row r="13" spans="1:6">
      <c r="A13" s="271" t="s">
        <v>69</v>
      </c>
      <c r="B13" s="280">
        <v>13206003</v>
      </c>
      <c r="C13" s="272">
        <v>6450801</v>
      </c>
      <c r="D13" s="280">
        <v>6381801</v>
      </c>
      <c r="E13" s="281">
        <v>7133773</v>
      </c>
      <c r="F13" s="276" t="s">
        <v>104</v>
      </c>
    </row>
    <row r="14" spans="1:6">
      <c r="A14" s="271" t="s">
        <v>70</v>
      </c>
      <c r="B14" s="280">
        <v>89876</v>
      </c>
      <c r="C14" s="272">
        <v>51934</v>
      </c>
      <c r="D14" s="280">
        <v>63727</v>
      </c>
      <c r="E14" s="281">
        <v>91713</v>
      </c>
      <c r="F14" s="276" t="s">
        <v>104</v>
      </c>
    </row>
    <row r="15" spans="1:6">
      <c r="A15" s="271" t="s">
        <v>71</v>
      </c>
      <c r="B15" s="280">
        <v>12418</v>
      </c>
      <c r="C15" s="272">
        <v>1358</v>
      </c>
      <c r="D15" s="280">
        <v>3001</v>
      </c>
      <c r="E15" s="281">
        <v>3145</v>
      </c>
      <c r="F15" s="276" t="s">
        <v>104</v>
      </c>
    </row>
    <row r="16" spans="1:6">
      <c r="A16" s="271" t="s">
        <v>72</v>
      </c>
      <c r="B16" s="280">
        <v>2202349</v>
      </c>
      <c r="C16" s="272">
        <v>1122301</v>
      </c>
      <c r="D16" s="280">
        <v>1544283</v>
      </c>
      <c r="E16" s="281">
        <v>1655082</v>
      </c>
      <c r="F16" s="276" t="s">
        <v>104</v>
      </c>
    </row>
    <row r="17" spans="1:6">
      <c r="A17" s="271" t="s">
        <v>73</v>
      </c>
      <c r="B17" s="280">
        <v>319936</v>
      </c>
      <c r="C17" s="272">
        <v>220931</v>
      </c>
      <c r="D17" s="280">
        <v>228559</v>
      </c>
      <c r="E17" s="281">
        <v>235586</v>
      </c>
      <c r="F17" s="276" t="s">
        <v>53</v>
      </c>
    </row>
    <row r="18" spans="1:6">
      <c r="A18" s="271" t="s">
        <v>74</v>
      </c>
      <c r="B18" s="280">
        <v>172051</v>
      </c>
      <c r="C18" s="272">
        <v>89042</v>
      </c>
      <c r="D18" s="280">
        <v>77681</v>
      </c>
      <c r="E18" s="281">
        <v>90145</v>
      </c>
      <c r="F18" s="276" t="s">
        <v>53</v>
      </c>
    </row>
    <row r="19" spans="1:6">
      <c r="A19" s="271" t="s">
        <v>75</v>
      </c>
      <c r="B19" s="280">
        <v>2018554</v>
      </c>
      <c r="C19" s="272">
        <v>468071</v>
      </c>
      <c r="D19" s="280">
        <v>445943</v>
      </c>
      <c r="E19" s="281">
        <v>519342</v>
      </c>
      <c r="F19" s="276" t="s">
        <v>53</v>
      </c>
    </row>
    <row r="20" spans="1:6">
      <c r="A20" s="271" t="s">
        <v>76</v>
      </c>
      <c r="B20" s="273">
        <v>17939</v>
      </c>
      <c r="C20" s="272">
        <v>14112</v>
      </c>
      <c r="D20" s="273">
        <v>14878</v>
      </c>
      <c r="E20" s="274">
        <v>14298</v>
      </c>
      <c r="F20" s="276" t="s">
        <v>53</v>
      </c>
    </row>
    <row r="21" spans="1:6">
      <c r="A21" s="271" t="s">
        <v>77</v>
      </c>
      <c r="B21" s="280">
        <v>1708148</v>
      </c>
      <c r="C21" s="272">
        <v>335253</v>
      </c>
      <c r="D21" s="280">
        <v>421563</v>
      </c>
      <c r="E21" s="281">
        <v>527426</v>
      </c>
      <c r="F21" s="276" t="s">
        <v>103</v>
      </c>
    </row>
    <row r="22" spans="1:6">
      <c r="A22" s="271" t="s">
        <v>78</v>
      </c>
      <c r="B22" s="280">
        <v>2917849</v>
      </c>
      <c r="C22" s="272">
        <v>1423589</v>
      </c>
      <c r="D22" s="280">
        <v>1815957</v>
      </c>
      <c r="E22" s="281">
        <v>2106063</v>
      </c>
      <c r="F22" s="276" t="s">
        <v>103</v>
      </c>
    </row>
    <row r="23" spans="1:6">
      <c r="A23" s="271" t="s">
        <v>79</v>
      </c>
      <c r="B23" s="280">
        <v>4000963</v>
      </c>
      <c r="C23" s="272">
        <v>1530851</v>
      </c>
      <c r="D23" s="280">
        <v>3047077</v>
      </c>
      <c r="E23" s="281">
        <v>4580046</v>
      </c>
      <c r="F23" s="276" t="s">
        <v>103</v>
      </c>
    </row>
    <row r="24" spans="1:6">
      <c r="A24" s="271" t="s">
        <v>80</v>
      </c>
      <c r="B24" s="280">
        <v>601813</v>
      </c>
      <c r="C24" s="272">
        <v>326881</v>
      </c>
      <c r="D24" s="280">
        <v>471899</v>
      </c>
      <c r="E24" s="281">
        <v>847511</v>
      </c>
      <c r="F24" s="276" t="s">
        <v>103</v>
      </c>
    </row>
    <row r="25" spans="1:6">
      <c r="A25" s="271" t="s">
        <v>81</v>
      </c>
      <c r="B25" s="280">
        <v>8334449</v>
      </c>
      <c r="C25" s="272">
        <v>4566013</v>
      </c>
      <c r="D25" s="280">
        <v>5191499</v>
      </c>
      <c r="E25" s="281">
        <v>8365287</v>
      </c>
      <c r="F25" s="276" t="s">
        <v>103</v>
      </c>
    </row>
    <row r="26" spans="1:6">
      <c r="A26" s="271" t="s">
        <v>82</v>
      </c>
      <c r="B26" s="280">
        <v>4408114</v>
      </c>
      <c r="C26" s="272">
        <v>341627</v>
      </c>
      <c r="D26" s="280">
        <v>821936</v>
      </c>
      <c r="E26" s="281">
        <v>1466250</v>
      </c>
      <c r="F26" s="276" t="s">
        <v>103</v>
      </c>
    </row>
    <row r="27" spans="1:6">
      <c r="A27" s="271" t="s">
        <v>83</v>
      </c>
      <c r="B27" s="280">
        <v>2357736</v>
      </c>
      <c r="C27" s="272">
        <v>723026</v>
      </c>
      <c r="D27" s="280">
        <v>1220283</v>
      </c>
      <c r="E27" s="281">
        <v>1572283</v>
      </c>
      <c r="F27" s="276" t="s">
        <v>103</v>
      </c>
    </row>
    <row r="28" spans="1:6">
      <c r="A28" s="271" t="s">
        <v>84</v>
      </c>
      <c r="B28" s="280">
        <v>409729</v>
      </c>
      <c r="C28" s="272">
        <v>331823</v>
      </c>
      <c r="D28" s="280">
        <v>404081</v>
      </c>
      <c r="E28" s="281">
        <v>475942</v>
      </c>
      <c r="F28" s="276" t="s">
        <v>55</v>
      </c>
    </row>
    <row r="29" spans="1:6">
      <c r="A29" s="271" t="s">
        <v>85</v>
      </c>
      <c r="B29" s="280">
        <v>8897022</v>
      </c>
      <c r="C29" s="272">
        <v>7694498</v>
      </c>
      <c r="D29" s="280">
        <v>8838099</v>
      </c>
      <c r="E29" s="281">
        <v>9625071</v>
      </c>
      <c r="F29" s="276" t="s">
        <v>55</v>
      </c>
    </row>
    <row r="30" spans="1:6">
      <c r="A30" s="271" t="s">
        <v>86</v>
      </c>
      <c r="B30" s="280">
        <v>4659053</v>
      </c>
      <c r="C30" s="272">
        <v>810754</v>
      </c>
      <c r="D30" s="280">
        <v>3267836</v>
      </c>
      <c r="E30" s="281">
        <v>3520078</v>
      </c>
      <c r="F30" s="276" t="s">
        <v>56</v>
      </c>
    </row>
    <row r="31" spans="1:6">
      <c r="A31" s="271" t="s">
        <v>87</v>
      </c>
      <c r="B31" s="280">
        <v>268727</v>
      </c>
      <c r="C31" s="272">
        <v>102199</v>
      </c>
      <c r="D31" s="280">
        <v>125489</v>
      </c>
      <c r="E31" s="281">
        <v>120233</v>
      </c>
      <c r="F31" s="276" t="s">
        <v>56</v>
      </c>
    </row>
    <row r="32" spans="1:6">
      <c r="A32" s="271" t="s">
        <v>88</v>
      </c>
      <c r="B32" s="280">
        <v>1970807</v>
      </c>
      <c r="C32" s="272">
        <v>1097072</v>
      </c>
      <c r="D32" s="280">
        <v>1134478</v>
      </c>
      <c r="E32" s="281">
        <v>1287135</v>
      </c>
      <c r="F32" s="276" t="s">
        <v>56</v>
      </c>
    </row>
    <row r="33" spans="1:6">
      <c r="A33" s="271" t="s">
        <v>89</v>
      </c>
      <c r="B33" s="280">
        <v>68799</v>
      </c>
      <c r="C33" s="272">
        <v>37896</v>
      </c>
      <c r="D33" s="280">
        <v>29480</v>
      </c>
      <c r="E33" s="281">
        <v>27254</v>
      </c>
      <c r="F33" s="276" t="s">
        <v>56</v>
      </c>
    </row>
    <row r="34" spans="1:6">
      <c r="A34" s="271" t="s">
        <v>90</v>
      </c>
      <c r="B34" s="280">
        <v>275059</v>
      </c>
      <c r="C34" s="272">
        <v>149731</v>
      </c>
      <c r="D34" s="280">
        <v>162733</v>
      </c>
      <c r="E34" s="281">
        <v>196967</v>
      </c>
      <c r="F34" s="276" t="s">
        <v>57</v>
      </c>
    </row>
    <row r="35" spans="1:6">
      <c r="A35" s="271" t="s">
        <v>91</v>
      </c>
      <c r="B35" s="280">
        <v>2120458</v>
      </c>
      <c r="C35" s="272">
        <v>503759</v>
      </c>
      <c r="D35" s="280">
        <v>1360253</v>
      </c>
      <c r="E35" s="281">
        <v>1522746</v>
      </c>
      <c r="F35" s="276" t="s">
        <v>57</v>
      </c>
    </row>
    <row r="36" spans="1:6">
      <c r="A36" s="271" t="s">
        <v>93</v>
      </c>
      <c r="B36" s="280">
        <v>134832</v>
      </c>
      <c r="C36" s="272">
        <v>85334</v>
      </c>
      <c r="D36" s="280">
        <v>134223</v>
      </c>
      <c r="E36" s="281">
        <v>180625</v>
      </c>
      <c r="F36" s="276" t="s">
        <v>57</v>
      </c>
    </row>
    <row r="37" spans="1:6">
      <c r="A37" s="271" t="s">
        <v>94</v>
      </c>
      <c r="B37" s="280">
        <v>141357</v>
      </c>
      <c r="C37" s="272">
        <v>108664</v>
      </c>
      <c r="D37" s="280">
        <v>127135</v>
      </c>
      <c r="E37" s="281">
        <v>129839</v>
      </c>
      <c r="F37" s="276" t="s">
        <v>58</v>
      </c>
    </row>
    <row r="38" spans="1:6">
      <c r="A38" s="271" t="s">
        <v>95</v>
      </c>
      <c r="B38" s="280">
        <v>38276</v>
      </c>
      <c r="C38" s="272">
        <v>21664</v>
      </c>
      <c r="D38" s="280">
        <v>24049</v>
      </c>
      <c r="E38" s="281">
        <v>28422</v>
      </c>
      <c r="F38" s="276" t="s">
        <v>58</v>
      </c>
    </row>
    <row r="39" spans="1:6">
      <c r="A39" s="271" t="s">
        <v>96</v>
      </c>
      <c r="B39" s="280">
        <v>279959</v>
      </c>
      <c r="C39" s="272">
        <v>140054</v>
      </c>
      <c r="D39" s="280">
        <v>172720</v>
      </c>
      <c r="E39" s="281">
        <v>222118</v>
      </c>
      <c r="F39" s="276" t="s">
        <v>58</v>
      </c>
    </row>
    <row r="40" spans="1:6">
      <c r="A40" s="271" t="s">
        <v>97</v>
      </c>
      <c r="B40" s="280">
        <v>13455</v>
      </c>
      <c r="C40" s="272">
        <v>11150</v>
      </c>
      <c r="D40" s="280">
        <v>11840</v>
      </c>
      <c r="E40" s="281">
        <v>11675</v>
      </c>
      <c r="F40" s="276" t="s">
        <v>58</v>
      </c>
    </row>
    <row r="41" spans="1:6">
      <c r="A41" s="271" t="s">
        <v>98</v>
      </c>
      <c r="B41" s="273">
        <v>104997</v>
      </c>
      <c r="C41" s="272">
        <v>42699</v>
      </c>
      <c r="D41" s="273">
        <v>49444</v>
      </c>
      <c r="E41" s="274">
        <v>61663</v>
      </c>
      <c r="F41" s="276" t="s">
        <v>58</v>
      </c>
    </row>
    <row r="42" spans="1:6">
      <c r="A42" s="283" t="s">
        <v>99</v>
      </c>
      <c r="B42" s="285">
        <v>241234</v>
      </c>
      <c r="C42" s="284">
        <v>141153</v>
      </c>
      <c r="D42" s="285">
        <v>169413</v>
      </c>
      <c r="E42" s="286">
        <v>187266</v>
      </c>
      <c r="F42" s="288" t="s">
        <v>58</v>
      </c>
    </row>
    <row r="43" spans="1:6" ht="15" thickBot="1">
      <c r="A43" s="289" t="s">
        <v>191</v>
      </c>
      <c r="B43" s="291">
        <f>SUM(B3:B42)</f>
        <v>64818519</v>
      </c>
      <c r="C43" s="464">
        <f>SUM(C3:C42)</f>
        <v>30117016</v>
      </c>
      <c r="D43" s="291">
        <f>SUM(D3:D42)</f>
        <v>39573993</v>
      </c>
      <c r="E43" s="465">
        <f>SUM(E3:E42)</f>
        <v>48817331</v>
      </c>
      <c r="F43" s="292"/>
    </row>
    <row r="44" spans="1:6">
      <c r="B44" s="293"/>
      <c r="C44" s="294"/>
    </row>
  </sheetData>
  <pageMargins left="0.25" right="0.25" top="0.75" bottom="0.75" header="0.3" footer="0.3"/>
  <pageSetup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E8B2A-066C-4C43-BD0D-711B0FCADE33}">
  <sheetPr>
    <pageSetUpPr fitToPage="1"/>
  </sheetPr>
  <dimension ref="A1:F44"/>
  <sheetViews>
    <sheetView zoomScaleNormal="100" workbookViewId="0"/>
  </sheetViews>
  <sheetFormatPr defaultColWidth="9.42578125" defaultRowHeight="14.25"/>
  <cols>
    <col min="1" max="1" width="46.5703125" style="296" bestFit="1" customWidth="1"/>
    <col min="2" max="4" width="15.5703125" style="320" customWidth="1"/>
    <col min="5" max="5" width="15.42578125" style="296" customWidth="1"/>
    <col min="6" max="6" width="15.5703125" style="296" customWidth="1"/>
    <col min="7" max="16384" width="9.42578125" style="296"/>
  </cols>
  <sheetData>
    <row r="1" spans="1:6" ht="15" thickBot="1">
      <c r="B1" s="265">
        <v>2019</v>
      </c>
      <c r="C1" s="265">
        <v>2021</v>
      </c>
      <c r="D1" s="265">
        <v>2022</v>
      </c>
      <c r="E1" s="265">
        <v>2023</v>
      </c>
    </row>
    <row r="2" spans="1:6">
      <c r="A2" s="297" t="s">
        <v>190</v>
      </c>
      <c r="B2" s="298" t="s">
        <v>16</v>
      </c>
      <c r="C2" s="298" t="s">
        <v>16</v>
      </c>
      <c r="D2" s="298" t="s">
        <v>16</v>
      </c>
      <c r="E2" s="298" t="s">
        <v>16</v>
      </c>
      <c r="F2" s="300"/>
    </row>
    <row r="3" spans="1:6">
      <c r="A3" s="301" t="s">
        <v>60</v>
      </c>
      <c r="B3" s="309">
        <v>33965</v>
      </c>
      <c r="C3" s="302">
        <v>29170</v>
      </c>
      <c r="D3" s="303">
        <v>30762</v>
      </c>
      <c r="E3" s="302">
        <v>32940</v>
      </c>
      <c r="F3" s="276" t="s">
        <v>49</v>
      </c>
    </row>
    <row r="4" spans="1:6">
      <c r="A4" s="301" t="s">
        <v>61</v>
      </c>
      <c r="B4" s="306">
        <v>7537</v>
      </c>
      <c r="C4" s="305">
        <v>3885</v>
      </c>
      <c r="D4" s="306">
        <v>7303</v>
      </c>
      <c r="E4" s="305">
        <v>7886</v>
      </c>
      <c r="F4" s="276" t="s">
        <v>49</v>
      </c>
    </row>
    <row r="5" spans="1:6">
      <c r="A5" s="301" t="s">
        <v>62</v>
      </c>
      <c r="B5" s="309">
        <v>46719</v>
      </c>
      <c r="C5" s="308">
        <v>39533</v>
      </c>
      <c r="D5" s="309">
        <v>44776</v>
      </c>
      <c r="E5" s="308">
        <v>46711</v>
      </c>
      <c r="F5" s="276" t="s">
        <v>49</v>
      </c>
    </row>
    <row r="6" spans="1:6">
      <c r="A6" s="301" t="s">
        <v>63</v>
      </c>
      <c r="B6" s="309">
        <v>52693</v>
      </c>
      <c r="C6" s="308">
        <v>35279</v>
      </c>
      <c r="D6" s="309">
        <v>40013</v>
      </c>
      <c r="E6" s="308">
        <v>47343</v>
      </c>
      <c r="F6" s="276" t="s">
        <v>49</v>
      </c>
    </row>
    <row r="7" spans="1:6">
      <c r="A7" s="301" t="s">
        <v>64</v>
      </c>
      <c r="B7" s="309">
        <v>8115</v>
      </c>
      <c r="C7" s="308">
        <v>8307</v>
      </c>
      <c r="D7" s="309">
        <v>7979</v>
      </c>
      <c r="E7" s="308">
        <v>8170</v>
      </c>
      <c r="F7" s="276" t="s">
        <v>49</v>
      </c>
    </row>
    <row r="8" spans="1:6">
      <c r="A8" s="301" t="s">
        <v>65</v>
      </c>
      <c r="B8" s="306">
        <v>108033</v>
      </c>
      <c r="C8" s="308">
        <v>74987</v>
      </c>
      <c r="D8" s="309">
        <v>58751</v>
      </c>
      <c r="E8" s="308">
        <v>73719</v>
      </c>
      <c r="F8" s="276" t="s">
        <v>50</v>
      </c>
    </row>
    <row r="9" spans="1:6">
      <c r="A9" s="466"/>
      <c r="B9" s="467" t="s">
        <v>212</v>
      </c>
      <c r="C9" s="468" t="s">
        <v>212</v>
      </c>
      <c r="D9" s="468" t="s">
        <v>212</v>
      </c>
      <c r="E9" s="468"/>
      <c r="F9" s="463"/>
    </row>
    <row r="10" spans="1:6">
      <c r="A10" s="301" t="s">
        <v>66</v>
      </c>
      <c r="B10" s="306">
        <v>53032</v>
      </c>
      <c r="C10" s="308">
        <v>40798</v>
      </c>
      <c r="D10" s="309">
        <v>40268</v>
      </c>
      <c r="E10" s="308">
        <v>37181</v>
      </c>
      <c r="F10" s="276" t="s">
        <v>51</v>
      </c>
    </row>
    <row r="11" spans="1:6">
      <c r="A11" s="301" t="s">
        <v>67</v>
      </c>
      <c r="B11" s="306">
        <v>19458</v>
      </c>
      <c r="C11" s="305">
        <v>20267</v>
      </c>
      <c r="D11" s="306">
        <v>21618</v>
      </c>
      <c r="E11" s="305">
        <v>22410</v>
      </c>
      <c r="F11" s="276" t="s">
        <v>104</v>
      </c>
    </row>
    <row r="12" spans="1:6">
      <c r="A12" s="301" t="s">
        <v>68</v>
      </c>
      <c r="B12" s="306">
        <v>3048</v>
      </c>
      <c r="C12" s="308">
        <v>3060</v>
      </c>
      <c r="D12" s="309">
        <v>3090</v>
      </c>
      <c r="E12" s="308">
        <v>3108</v>
      </c>
      <c r="F12" s="276" t="s">
        <v>104</v>
      </c>
    </row>
    <row r="13" spans="1:6">
      <c r="A13" s="301" t="s">
        <v>69</v>
      </c>
      <c r="B13" s="306">
        <v>1083033</v>
      </c>
      <c r="C13" s="308">
        <v>971392</v>
      </c>
      <c r="D13" s="309">
        <v>886831</v>
      </c>
      <c r="E13" s="308">
        <v>955047</v>
      </c>
      <c r="F13" s="276" t="s">
        <v>104</v>
      </c>
    </row>
    <row r="14" spans="1:6">
      <c r="A14" s="301" t="s">
        <v>70</v>
      </c>
      <c r="B14" s="306">
        <v>17422</v>
      </c>
      <c r="C14" s="308">
        <v>20410</v>
      </c>
      <c r="D14" s="309">
        <v>20345</v>
      </c>
      <c r="E14" s="308">
        <v>20260</v>
      </c>
      <c r="F14" s="276" t="s">
        <v>104</v>
      </c>
    </row>
    <row r="15" spans="1:6">
      <c r="A15" s="301" t="s">
        <v>71</v>
      </c>
      <c r="B15" s="306">
        <v>1383</v>
      </c>
      <c r="C15" s="308">
        <v>1342</v>
      </c>
      <c r="D15" s="309">
        <v>880</v>
      </c>
      <c r="E15" s="308">
        <v>502</v>
      </c>
      <c r="F15" s="276" t="s">
        <v>104</v>
      </c>
    </row>
    <row r="16" spans="1:6">
      <c r="A16" s="301" t="s">
        <v>72</v>
      </c>
      <c r="B16" s="306">
        <v>94477</v>
      </c>
      <c r="C16" s="308">
        <v>78393</v>
      </c>
      <c r="D16" s="309">
        <v>79332</v>
      </c>
      <c r="E16" s="308">
        <v>71283</v>
      </c>
      <c r="F16" s="276" t="s">
        <v>104</v>
      </c>
    </row>
    <row r="17" spans="1:6">
      <c r="A17" s="301" t="s">
        <v>73</v>
      </c>
      <c r="B17" s="306">
        <v>35978</v>
      </c>
      <c r="C17" s="308">
        <v>38330</v>
      </c>
      <c r="D17" s="309">
        <v>35273</v>
      </c>
      <c r="E17" s="308">
        <v>29937</v>
      </c>
      <c r="F17" s="276" t="s">
        <v>53</v>
      </c>
    </row>
    <row r="18" spans="1:6">
      <c r="A18" s="301" t="s">
        <v>74</v>
      </c>
      <c r="B18" s="306">
        <v>14194</v>
      </c>
      <c r="C18" s="308">
        <v>13590</v>
      </c>
      <c r="D18" s="309">
        <v>11837</v>
      </c>
      <c r="E18" s="308">
        <v>11560</v>
      </c>
      <c r="F18" s="276" t="s">
        <v>53</v>
      </c>
    </row>
    <row r="19" spans="1:6">
      <c r="A19" s="301" t="s">
        <v>75</v>
      </c>
      <c r="B19" s="306">
        <v>94891</v>
      </c>
      <c r="C19" s="308">
        <v>75366</v>
      </c>
      <c r="D19" s="309">
        <v>74332</v>
      </c>
      <c r="E19" s="308">
        <v>79599</v>
      </c>
      <c r="F19" s="276" t="s">
        <v>53</v>
      </c>
    </row>
    <row r="20" spans="1:6">
      <c r="A20" s="301" t="s">
        <v>76</v>
      </c>
      <c r="B20" s="309">
        <v>3012</v>
      </c>
      <c r="C20" s="308">
        <v>3011</v>
      </c>
      <c r="D20" s="309">
        <v>3043</v>
      </c>
      <c r="E20" s="308">
        <v>3028</v>
      </c>
      <c r="F20" s="276" t="s">
        <v>53</v>
      </c>
    </row>
    <row r="21" spans="1:6">
      <c r="A21" s="301" t="s">
        <v>77</v>
      </c>
      <c r="B21" s="306">
        <v>177974.36666666667</v>
      </c>
      <c r="C21" s="308">
        <f>88248+8353</f>
        <v>96601</v>
      </c>
      <c r="D21" s="309">
        <f>88663+10112</f>
        <v>98775</v>
      </c>
      <c r="E21" s="311">
        <f>108286+10206</f>
        <v>118492</v>
      </c>
      <c r="F21" s="276" t="s">
        <v>103</v>
      </c>
    </row>
    <row r="22" spans="1:6">
      <c r="A22" s="301" t="s">
        <v>78</v>
      </c>
      <c r="B22" s="306">
        <v>226129</v>
      </c>
      <c r="C22" s="308">
        <v>182007</v>
      </c>
      <c r="D22" s="309">
        <v>204460</v>
      </c>
      <c r="E22" s="308">
        <v>216250</v>
      </c>
      <c r="F22" s="276" t="s">
        <v>103</v>
      </c>
    </row>
    <row r="23" spans="1:6">
      <c r="A23" s="301" t="s">
        <v>79</v>
      </c>
      <c r="B23" s="306">
        <v>251750</v>
      </c>
      <c r="C23" s="308">
        <v>211975</v>
      </c>
      <c r="D23" s="309">
        <v>276476</v>
      </c>
      <c r="E23" s="308">
        <v>310607</v>
      </c>
      <c r="F23" s="276" t="s">
        <v>103</v>
      </c>
    </row>
    <row r="24" spans="1:6">
      <c r="A24" s="301" t="s">
        <v>80</v>
      </c>
      <c r="B24" s="306">
        <v>34273</v>
      </c>
      <c r="C24" s="308">
        <v>34280</v>
      </c>
      <c r="D24" s="309">
        <v>35046</v>
      </c>
      <c r="E24" s="308">
        <v>34638</v>
      </c>
      <c r="F24" s="276" t="s">
        <v>103</v>
      </c>
    </row>
    <row r="25" spans="1:6">
      <c r="A25" s="301" t="s">
        <v>81</v>
      </c>
      <c r="B25" s="306">
        <v>762124</v>
      </c>
      <c r="C25" s="308">
        <f>775301+2087</f>
        <v>777388</v>
      </c>
      <c r="D25" s="309">
        <f>840428+2521</f>
        <v>842949</v>
      </c>
      <c r="E25" s="311">
        <v>848788</v>
      </c>
      <c r="F25" s="276" t="s">
        <v>103</v>
      </c>
    </row>
    <row r="26" spans="1:6">
      <c r="A26" s="301" t="s">
        <v>82</v>
      </c>
      <c r="B26" s="306">
        <v>79652</v>
      </c>
      <c r="C26" s="308">
        <v>49907</v>
      </c>
      <c r="D26" s="309">
        <v>71732</v>
      </c>
      <c r="E26" s="308">
        <v>78944</v>
      </c>
      <c r="F26" s="276" t="s">
        <v>103</v>
      </c>
    </row>
    <row r="27" spans="1:6">
      <c r="A27" s="301" t="s">
        <v>83</v>
      </c>
      <c r="B27" s="306">
        <v>222022.66000065801</v>
      </c>
      <c r="C27" s="308">
        <f>152489+(152489*0.49)</f>
        <v>227208.61</v>
      </c>
      <c r="D27" s="309">
        <f>146130+71220</f>
        <v>217350</v>
      </c>
      <c r="E27" s="311">
        <f>149888+57989</f>
        <v>207877</v>
      </c>
      <c r="F27" s="276" t="s">
        <v>103</v>
      </c>
    </row>
    <row r="28" spans="1:6">
      <c r="A28" s="301" t="s">
        <v>84</v>
      </c>
      <c r="B28" s="306">
        <v>56662</v>
      </c>
      <c r="C28" s="308">
        <v>46966</v>
      </c>
      <c r="D28" s="309">
        <v>47286</v>
      </c>
      <c r="E28" s="308">
        <v>43849</v>
      </c>
      <c r="F28" s="276" t="s">
        <v>55</v>
      </c>
    </row>
    <row r="29" spans="1:6">
      <c r="A29" s="301" t="s">
        <v>85</v>
      </c>
      <c r="B29" s="306">
        <v>589799</v>
      </c>
      <c r="C29" s="308">
        <v>606539</v>
      </c>
      <c r="D29" s="309">
        <v>589217</v>
      </c>
      <c r="E29" s="313">
        <f>582073+1652</f>
        <v>583725</v>
      </c>
      <c r="F29" s="276" t="s">
        <v>55</v>
      </c>
    </row>
    <row r="30" spans="1:6">
      <c r="A30" s="301" t="s">
        <v>86</v>
      </c>
      <c r="B30" s="306">
        <v>113580</v>
      </c>
      <c r="C30" s="308">
        <v>104803</v>
      </c>
      <c r="D30" s="309">
        <v>100136</v>
      </c>
      <c r="E30" s="308">
        <v>92885</v>
      </c>
      <c r="F30" s="276" t="s">
        <v>56</v>
      </c>
    </row>
    <row r="31" spans="1:6">
      <c r="A31" s="301" t="s">
        <v>87</v>
      </c>
      <c r="B31" s="306">
        <v>31292</v>
      </c>
      <c r="C31" s="308">
        <v>30471</v>
      </c>
      <c r="D31" s="309">
        <v>31063</v>
      </c>
      <c r="E31" s="308">
        <v>32095</v>
      </c>
      <c r="F31" s="276" t="s">
        <v>56</v>
      </c>
    </row>
    <row r="32" spans="1:6">
      <c r="A32" s="301" t="s">
        <v>88</v>
      </c>
      <c r="B32" s="306">
        <v>150889</v>
      </c>
      <c r="C32" s="308">
        <v>145560</v>
      </c>
      <c r="D32" s="309">
        <v>155800</v>
      </c>
      <c r="E32" s="308">
        <v>141516</v>
      </c>
      <c r="F32" s="276" t="s">
        <v>56</v>
      </c>
    </row>
    <row r="33" spans="1:6">
      <c r="A33" s="301" t="s">
        <v>89</v>
      </c>
      <c r="B33" s="306">
        <v>19830</v>
      </c>
      <c r="C33" s="308">
        <v>18342</v>
      </c>
      <c r="D33" s="309">
        <v>19090</v>
      </c>
      <c r="E33" s="308">
        <v>18878</v>
      </c>
      <c r="F33" s="276" t="s">
        <v>56</v>
      </c>
    </row>
    <row r="34" spans="1:6">
      <c r="A34" s="301" t="s">
        <v>90</v>
      </c>
      <c r="B34" s="306">
        <v>30658</v>
      </c>
      <c r="C34" s="308">
        <v>33407</v>
      </c>
      <c r="D34" s="309">
        <v>36937</v>
      </c>
      <c r="E34" s="308">
        <v>37781</v>
      </c>
      <c r="F34" s="276" t="s">
        <v>57</v>
      </c>
    </row>
    <row r="35" spans="1:6">
      <c r="A35" s="301" t="s">
        <v>91</v>
      </c>
      <c r="B35" s="306">
        <v>75663</v>
      </c>
      <c r="C35" s="308">
        <v>77225</v>
      </c>
      <c r="D35" s="309">
        <v>74536</v>
      </c>
      <c r="E35" s="308">
        <v>72014</v>
      </c>
      <c r="F35" s="276" t="s">
        <v>57</v>
      </c>
    </row>
    <row r="36" spans="1:6">
      <c r="A36" s="301" t="s">
        <v>93</v>
      </c>
      <c r="B36" s="306">
        <v>17721</v>
      </c>
      <c r="C36" s="308">
        <v>16508</v>
      </c>
      <c r="D36" s="309">
        <v>17310</v>
      </c>
      <c r="E36" s="308">
        <v>20219</v>
      </c>
      <c r="F36" s="276" t="s">
        <v>57</v>
      </c>
    </row>
    <row r="37" spans="1:6">
      <c r="A37" s="301" t="s">
        <v>94</v>
      </c>
      <c r="B37" s="306">
        <v>60477</v>
      </c>
      <c r="C37" s="308">
        <v>55888</v>
      </c>
      <c r="D37" s="309">
        <v>60586</v>
      </c>
      <c r="E37" s="308">
        <v>61652</v>
      </c>
      <c r="F37" s="276" t="s">
        <v>58</v>
      </c>
    </row>
    <row r="38" spans="1:6">
      <c r="A38" s="301" t="s">
        <v>95</v>
      </c>
      <c r="B38" s="306">
        <v>14634</v>
      </c>
      <c r="C38" s="308">
        <v>15493</v>
      </c>
      <c r="D38" s="309">
        <v>15570</v>
      </c>
      <c r="E38" s="308">
        <v>15538</v>
      </c>
      <c r="F38" s="276" t="s">
        <v>58</v>
      </c>
    </row>
    <row r="39" spans="1:6">
      <c r="A39" s="301" t="s">
        <v>96</v>
      </c>
      <c r="B39" s="306">
        <v>96645</v>
      </c>
      <c r="C39" s="308">
        <v>63817</v>
      </c>
      <c r="D39" s="309">
        <v>75094</v>
      </c>
      <c r="E39" s="308">
        <v>86457</v>
      </c>
      <c r="F39" s="276" t="s">
        <v>58</v>
      </c>
    </row>
    <row r="40" spans="1:6">
      <c r="A40" s="301" t="s">
        <v>97</v>
      </c>
      <c r="B40" s="306">
        <v>5127</v>
      </c>
      <c r="C40" s="308">
        <v>5393</v>
      </c>
      <c r="D40" s="309">
        <v>5390</v>
      </c>
      <c r="E40" s="308">
        <v>5322</v>
      </c>
      <c r="F40" s="276" t="s">
        <v>58</v>
      </c>
    </row>
    <row r="41" spans="1:6">
      <c r="A41" s="301" t="s">
        <v>98</v>
      </c>
      <c r="B41" s="309">
        <v>45615</v>
      </c>
      <c r="C41" s="308">
        <v>22816</v>
      </c>
      <c r="D41" s="309">
        <v>18141</v>
      </c>
      <c r="E41" s="308">
        <v>18247</v>
      </c>
      <c r="F41" s="276" t="s">
        <v>58</v>
      </c>
    </row>
    <row r="42" spans="1:6">
      <c r="A42" s="314" t="s">
        <v>99</v>
      </c>
      <c r="B42" s="469">
        <v>52366</v>
      </c>
      <c r="C42" s="315">
        <v>54180</v>
      </c>
      <c r="D42" s="316">
        <v>60519</v>
      </c>
      <c r="E42" s="315">
        <v>63759</v>
      </c>
      <c r="F42" s="288" t="s">
        <v>58</v>
      </c>
    </row>
    <row r="43" spans="1:6" ht="15" thickBot="1">
      <c r="A43" s="318" t="s">
        <v>191</v>
      </c>
      <c r="B43" s="470">
        <f>SUM(B3:B42)</f>
        <v>4791873.0266673248</v>
      </c>
      <c r="C43" s="470">
        <f>SUM(C3:C42)</f>
        <v>4333894.6099999994</v>
      </c>
      <c r="D43" s="470">
        <f>SUM(D3:D42)</f>
        <v>4419896</v>
      </c>
      <c r="E43" s="470">
        <f>SUM(E3:E42)</f>
        <v>4560217</v>
      </c>
      <c r="F43" s="292"/>
    </row>
    <row r="44" spans="1:6">
      <c r="B44" s="319"/>
      <c r="C44" s="294"/>
    </row>
  </sheetData>
  <pageMargins left="0.25" right="0.25" top="0.75" bottom="0.75" header="0.3" footer="0.3"/>
  <pageSetup scale="83"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6B66D-A646-4E3E-8752-348E23AB2004}">
  <sheetPr>
    <pageSetUpPr fitToPage="1"/>
  </sheetPr>
  <dimension ref="A1:I44"/>
  <sheetViews>
    <sheetView zoomScaleNormal="100" workbookViewId="0"/>
  </sheetViews>
  <sheetFormatPr defaultColWidth="9.42578125" defaultRowHeight="14.25"/>
  <cols>
    <col min="1" max="1" width="46.5703125" style="296" bestFit="1" customWidth="1"/>
    <col min="2" max="4" width="15.5703125" style="320" customWidth="1"/>
    <col min="5" max="5" width="14.5703125" style="296" customWidth="1"/>
    <col min="6" max="6" width="16.42578125" style="296" customWidth="1"/>
    <col min="7" max="16384" width="9.42578125" style="296"/>
  </cols>
  <sheetData>
    <row r="1" spans="1:6" ht="15" thickBot="1">
      <c r="B1" s="265">
        <v>2019</v>
      </c>
      <c r="C1" s="265">
        <v>2021</v>
      </c>
      <c r="D1" s="265">
        <v>2022</v>
      </c>
      <c r="E1" s="265">
        <v>2023</v>
      </c>
    </row>
    <row r="2" spans="1:6">
      <c r="A2" s="321" t="s">
        <v>190</v>
      </c>
      <c r="B2" s="322" t="s">
        <v>17</v>
      </c>
      <c r="C2" s="322" t="s">
        <v>17</v>
      </c>
      <c r="D2" s="322" t="s">
        <v>17</v>
      </c>
      <c r="E2" s="322" t="s">
        <v>17</v>
      </c>
      <c r="F2" s="324"/>
    </row>
    <row r="3" spans="1:6" s="264" customFormat="1">
      <c r="A3" s="271" t="s">
        <v>60</v>
      </c>
      <c r="B3" s="309">
        <v>720867</v>
      </c>
      <c r="C3" s="302">
        <v>598768</v>
      </c>
      <c r="D3" s="303">
        <v>634178</v>
      </c>
      <c r="E3" s="302">
        <v>692104</v>
      </c>
      <c r="F3" s="276" t="s">
        <v>49</v>
      </c>
    </row>
    <row r="4" spans="1:6" s="264" customFormat="1">
      <c r="A4" s="271" t="s">
        <v>61</v>
      </c>
      <c r="B4" s="306">
        <v>87134</v>
      </c>
      <c r="C4" s="305">
        <v>46763</v>
      </c>
      <c r="D4" s="306">
        <v>84107</v>
      </c>
      <c r="E4" s="305">
        <v>94333</v>
      </c>
      <c r="F4" s="276" t="s">
        <v>49</v>
      </c>
    </row>
    <row r="5" spans="1:6" s="264" customFormat="1">
      <c r="A5" s="271" t="s">
        <v>62</v>
      </c>
      <c r="B5" s="309">
        <v>489940</v>
      </c>
      <c r="C5" s="308">
        <v>384307</v>
      </c>
      <c r="D5" s="309">
        <v>440288</v>
      </c>
      <c r="E5" s="308">
        <v>490148</v>
      </c>
      <c r="F5" s="276" t="s">
        <v>49</v>
      </c>
    </row>
    <row r="6" spans="1:6" s="264" customFormat="1">
      <c r="A6" s="271" t="s">
        <v>63</v>
      </c>
      <c r="B6" s="309">
        <v>864470</v>
      </c>
      <c r="C6" s="308">
        <v>550975</v>
      </c>
      <c r="D6" s="309">
        <v>639628</v>
      </c>
      <c r="E6" s="308">
        <v>800372</v>
      </c>
      <c r="F6" s="276" t="s">
        <v>49</v>
      </c>
    </row>
    <row r="7" spans="1:6" s="264" customFormat="1">
      <c r="A7" s="271" t="s">
        <v>64</v>
      </c>
      <c r="B7" s="309">
        <v>133672</v>
      </c>
      <c r="C7" s="308">
        <v>129731</v>
      </c>
      <c r="D7" s="309">
        <v>129480</v>
      </c>
      <c r="E7" s="308">
        <v>132943</v>
      </c>
      <c r="F7" s="276" t="s">
        <v>49</v>
      </c>
    </row>
    <row r="8" spans="1:6" s="264" customFormat="1">
      <c r="A8" s="271" t="s">
        <v>65</v>
      </c>
      <c r="B8" s="306">
        <v>976417</v>
      </c>
      <c r="C8" s="308">
        <v>730500</v>
      </c>
      <c r="D8" s="309">
        <v>807792</v>
      </c>
      <c r="E8" s="308">
        <v>782454</v>
      </c>
      <c r="F8" s="276" t="s">
        <v>50</v>
      </c>
    </row>
    <row r="9" spans="1:6" s="264" customFormat="1">
      <c r="A9" s="460"/>
      <c r="B9" s="467" t="s">
        <v>212</v>
      </c>
      <c r="C9" s="468" t="s">
        <v>212</v>
      </c>
      <c r="D9" s="468" t="s">
        <v>212</v>
      </c>
      <c r="E9" s="468"/>
      <c r="F9" s="463"/>
    </row>
    <row r="10" spans="1:6" s="264" customFormat="1">
      <c r="A10" s="271" t="s">
        <v>66</v>
      </c>
      <c r="B10" s="306">
        <v>865514</v>
      </c>
      <c r="C10" s="308">
        <v>610784</v>
      </c>
      <c r="D10" s="309">
        <v>598250</v>
      </c>
      <c r="E10" s="308">
        <v>548622</v>
      </c>
      <c r="F10" s="276" t="s">
        <v>51</v>
      </c>
    </row>
    <row r="11" spans="1:6" s="264" customFormat="1">
      <c r="A11" s="271" t="s">
        <v>67</v>
      </c>
      <c r="B11" s="306">
        <v>363878</v>
      </c>
      <c r="C11" s="305">
        <v>368836</v>
      </c>
      <c r="D11" s="306">
        <v>415022</v>
      </c>
      <c r="E11" s="305">
        <v>442128</v>
      </c>
      <c r="F11" s="276" t="s">
        <v>104</v>
      </c>
    </row>
    <row r="12" spans="1:6" s="264" customFormat="1">
      <c r="A12" s="271" t="s">
        <v>68</v>
      </c>
      <c r="B12" s="306">
        <v>53147</v>
      </c>
      <c r="C12" s="308">
        <v>48608</v>
      </c>
      <c r="D12" s="309">
        <v>52366</v>
      </c>
      <c r="E12" s="308">
        <v>54991</v>
      </c>
      <c r="F12" s="276" t="s">
        <v>104</v>
      </c>
    </row>
    <row r="13" spans="1:6" s="264" customFormat="1">
      <c r="A13" s="271" t="s">
        <v>69</v>
      </c>
      <c r="B13" s="306">
        <v>14602903</v>
      </c>
      <c r="C13" s="308">
        <v>13836191</v>
      </c>
      <c r="D13" s="309">
        <v>12904187</v>
      </c>
      <c r="E13" s="308">
        <v>13757219</v>
      </c>
      <c r="F13" s="276" t="s">
        <v>104</v>
      </c>
    </row>
    <row r="14" spans="1:6" s="264" customFormat="1">
      <c r="A14" s="271" t="s">
        <v>70</v>
      </c>
      <c r="B14" s="306">
        <v>408373</v>
      </c>
      <c r="C14" s="308">
        <v>463549</v>
      </c>
      <c r="D14" s="309">
        <v>483018</v>
      </c>
      <c r="E14" s="308">
        <v>510877</v>
      </c>
      <c r="F14" s="276" t="s">
        <v>104</v>
      </c>
    </row>
    <row r="15" spans="1:6" s="264" customFormat="1">
      <c r="A15" s="271" t="s">
        <v>71</v>
      </c>
      <c r="B15" s="306">
        <v>17408</v>
      </c>
      <c r="C15" s="308">
        <v>9510</v>
      </c>
      <c r="D15" s="309">
        <v>6777</v>
      </c>
      <c r="E15" s="308">
        <v>4641</v>
      </c>
      <c r="F15" s="276" t="s">
        <v>104</v>
      </c>
    </row>
    <row r="16" spans="1:6" s="264" customFormat="1">
      <c r="A16" s="271" t="s">
        <v>72</v>
      </c>
      <c r="B16" s="306">
        <v>1352302</v>
      </c>
      <c r="C16" s="308">
        <v>1072707</v>
      </c>
      <c r="D16" s="309">
        <v>1099092</v>
      </c>
      <c r="E16" s="308">
        <v>1099660</v>
      </c>
      <c r="F16" s="276" t="s">
        <v>104</v>
      </c>
    </row>
    <row r="17" spans="1:9" s="264" customFormat="1">
      <c r="A17" s="271" t="s">
        <v>73</v>
      </c>
      <c r="B17" s="306">
        <v>539625</v>
      </c>
      <c r="C17" s="308">
        <v>561833</v>
      </c>
      <c r="D17" s="309">
        <v>531990</v>
      </c>
      <c r="E17" s="308">
        <v>470807</v>
      </c>
      <c r="F17" s="276" t="s">
        <v>53</v>
      </c>
    </row>
    <row r="18" spans="1:9" s="264" customFormat="1">
      <c r="A18" s="271" t="s">
        <v>74</v>
      </c>
      <c r="B18" s="306">
        <v>216820</v>
      </c>
      <c r="C18" s="308">
        <v>188179</v>
      </c>
      <c r="D18" s="309">
        <v>174059</v>
      </c>
      <c r="E18" s="308">
        <v>171222</v>
      </c>
      <c r="F18" s="276" t="s">
        <v>53</v>
      </c>
    </row>
    <row r="19" spans="1:9" s="264" customFormat="1">
      <c r="A19" s="271" t="s">
        <v>75</v>
      </c>
      <c r="B19" s="306">
        <v>1251351</v>
      </c>
      <c r="C19" s="308">
        <v>1070838</v>
      </c>
      <c r="D19" s="309">
        <v>1073547</v>
      </c>
      <c r="E19" s="308">
        <v>1150861</v>
      </c>
      <c r="F19" s="276" t="s">
        <v>53</v>
      </c>
    </row>
    <row r="20" spans="1:9" s="264" customFormat="1">
      <c r="A20" s="271" t="s">
        <v>76</v>
      </c>
      <c r="B20" s="309">
        <v>48396</v>
      </c>
      <c r="C20" s="308">
        <v>49158</v>
      </c>
      <c r="D20" s="309">
        <v>48696</v>
      </c>
      <c r="E20" s="308">
        <v>48742</v>
      </c>
      <c r="F20" s="276" t="s">
        <v>53</v>
      </c>
    </row>
    <row r="21" spans="1:9" s="264" customFormat="1">
      <c r="A21" s="271" t="s">
        <v>77</v>
      </c>
      <c r="B21" s="306">
        <v>4601141.5999999996</v>
      </c>
      <c r="C21" s="308">
        <f>1735344+320678.5</f>
        <v>2056022.5</v>
      </c>
      <c r="D21" s="309">
        <f>1820398+427962.5</f>
        <v>2248360.5</v>
      </c>
      <c r="E21" s="311">
        <f>2090076+501367</f>
        <v>2591443</v>
      </c>
      <c r="F21" s="276" t="s">
        <v>103</v>
      </c>
    </row>
    <row r="22" spans="1:9" s="264" customFormat="1">
      <c r="A22" s="271" t="s">
        <v>78</v>
      </c>
      <c r="B22" s="306">
        <v>2318136</v>
      </c>
      <c r="C22" s="308">
        <v>1815035</v>
      </c>
      <c r="D22" s="309">
        <v>2083544</v>
      </c>
      <c r="E22" s="308">
        <v>2205880</v>
      </c>
      <c r="F22" s="276" t="s">
        <v>103</v>
      </c>
    </row>
    <row r="23" spans="1:9" s="264" customFormat="1">
      <c r="A23" s="271" t="s">
        <v>79</v>
      </c>
      <c r="B23" s="306">
        <v>2363682</v>
      </c>
      <c r="C23" s="308">
        <v>1902798</v>
      </c>
      <c r="D23" s="309">
        <v>2503129</v>
      </c>
      <c r="E23" s="308">
        <v>3036654</v>
      </c>
      <c r="F23" s="276" t="s">
        <v>103</v>
      </c>
    </row>
    <row r="24" spans="1:9" s="264" customFormat="1">
      <c r="A24" s="271" t="s">
        <v>80</v>
      </c>
      <c r="B24" s="306">
        <v>435847</v>
      </c>
      <c r="C24" s="308">
        <v>439054</v>
      </c>
      <c r="D24" s="309">
        <v>434291</v>
      </c>
      <c r="E24" s="308">
        <v>439291</v>
      </c>
      <c r="F24" s="276" t="s">
        <v>103</v>
      </c>
    </row>
    <row r="25" spans="1:9" s="264" customFormat="1">
      <c r="A25" s="271" t="s">
        <v>81</v>
      </c>
      <c r="B25" s="306">
        <v>10124159</v>
      </c>
      <c r="C25" s="308">
        <f>9967405+70604</f>
        <v>10038009</v>
      </c>
      <c r="D25" s="309">
        <f>10856360+85445</f>
        <v>10941805</v>
      </c>
      <c r="E25" s="311">
        <v>11068404</v>
      </c>
      <c r="F25" s="276" t="s">
        <v>103</v>
      </c>
      <c r="I25" s="471"/>
    </row>
    <row r="26" spans="1:9" s="264" customFormat="1">
      <c r="A26" s="271" t="s">
        <v>82</v>
      </c>
      <c r="B26" s="306">
        <v>2455796</v>
      </c>
      <c r="C26" s="308">
        <v>1560552</v>
      </c>
      <c r="D26" s="309">
        <v>2197853</v>
      </c>
      <c r="E26" s="308">
        <v>2414739</v>
      </c>
      <c r="F26" s="276" t="s">
        <v>103</v>
      </c>
    </row>
    <row r="27" spans="1:9" s="264" customFormat="1">
      <c r="A27" s="271" t="s">
        <v>83</v>
      </c>
      <c r="B27" s="306">
        <v>4363462.5699786376</v>
      </c>
      <c r="C27" s="308">
        <f>3198061+(3198061*0.58)</f>
        <v>5052936.38</v>
      </c>
      <c r="D27" s="309">
        <f>3312187+1905553</f>
        <v>5217740</v>
      </c>
      <c r="E27" s="311">
        <f>3302276+1784701</f>
        <v>5086977</v>
      </c>
      <c r="F27" s="276" t="s">
        <v>103</v>
      </c>
    </row>
    <row r="28" spans="1:9" s="264" customFormat="1">
      <c r="A28" s="271" t="s">
        <v>84</v>
      </c>
      <c r="B28" s="306">
        <v>596052</v>
      </c>
      <c r="C28" s="308">
        <v>549049</v>
      </c>
      <c r="D28" s="309">
        <v>554292</v>
      </c>
      <c r="E28" s="308">
        <v>553318</v>
      </c>
      <c r="F28" s="276" t="s">
        <v>55</v>
      </c>
    </row>
    <row r="29" spans="1:9" s="264" customFormat="1">
      <c r="A29" s="271" t="s">
        <v>85</v>
      </c>
      <c r="B29" s="306">
        <v>7486016</v>
      </c>
      <c r="C29" s="308">
        <v>7290100</v>
      </c>
      <c r="D29" s="309">
        <v>7359404</v>
      </c>
      <c r="E29" s="313">
        <f>6987882+34410</f>
        <v>7022292</v>
      </c>
      <c r="F29" s="276" t="s">
        <v>55</v>
      </c>
    </row>
    <row r="30" spans="1:9" s="264" customFormat="1">
      <c r="A30" s="271" t="s">
        <v>86</v>
      </c>
      <c r="B30" s="306">
        <v>1147826</v>
      </c>
      <c r="C30" s="308">
        <v>1082589</v>
      </c>
      <c r="D30" s="309">
        <v>1050017</v>
      </c>
      <c r="E30" s="308">
        <v>970481</v>
      </c>
      <c r="F30" s="276" t="s">
        <v>56</v>
      </c>
    </row>
    <row r="31" spans="1:9" s="264" customFormat="1">
      <c r="A31" s="271" t="s">
        <v>87</v>
      </c>
      <c r="B31" s="306">
        <v>343521</v>
      </c>
      <c r="C31" s="308">
        <v>350787</v>
      </c>
      <c r="D31" s="309">
        <v>373643</v>
      </c>
      <c r="E31" s="308">
        <v>388317</v>
      </c>
      <c r="F31" s="276" t="s">
        <v>56</v>
      </c>
    </row>
    <row r="32" spans="1:9" s="264" customFormat="1">
      <c r="A32" s="271" t="s">
        <v>88</v>
      </c>
      <c r="B32" s="306">
        <v>2583983</v>
      </c>
      <c r="C32" s="308">
        <v>2537776</v>
      </c>
      <c r="D32" s="309">
        <v>2582667</v>
      </c>
      <c r="E32" s="308">
        <v>2266478</v>
      </c>
      <c r="F32" s="276" t="s">
        <v>56</v>
      </c>
    </row>
    <row r="33" spans="1:6" s="264" customFormat="1">
      <c r="A33" s="271" t="s">
        <v>89</v>
      </c>
      <c r="B33" s="306">
        <v>219908</v>
      </c>
      <c r="C33" s="308">
        <v>211357</v>
      </c>
      <c r="D33" s="309">
        <v>220116</v>
      </c>
      <c r="E33" s="308">
        <v>227896</v>
      </c>
      <c r="F33" s="276" t="s">
        <v>56</v>
      </c>
    </row>
    <row r="34" spans="1:6" s="264" customFormat="1">
      <c r="A34" s="271" t="s">
        <v>90</v>
      </c>
      <c r="B34" s="306">
        <v>581543</v>
      </c>
      <c r="C34" s="308">
        <v>604900</v>
      </c>
      <c r="D34" s="309">
        <v>710177</v>
      </c>
      <c r="E34" s="308">
        <v>740596</v>
      </c>
      <c r="F34" s="276" t="s">
        <v>57</v>
      </c>
    </row>
    <row r="35" spans="1:6" s="264" customFormat="1">
      <c r="A35" s="271" t="s">
        <v>91</v>
      </c>
      <c r="B35" s="306">
        <v>738854</v>
      </c>
      <c r="C35" s="308">
        <v>752668</v>
      </c>
      <c r="D35" s="309">
        <v>753636</v>
      </c>
      <c r="E35" s="308">
        <v>723645</v>
      </c>
      <c r="F35" s="276" t="s">
        <v>57</v>
      </c>
    </row>
    <row r="36" spans="1:6" s="264" customFormat="1">
      <c r="A36" s="271" t="s">
        <v>93</v>
      </c>
      <c r="B36" s="306">
        <v>190391</v>
      </c>
      <c r="C36" s="308">
        <v>175322</v>
      </c>
      <c r="D36" s="309">
        <v>185237</v>
      </c>
      <c r="E36" s="308">
        <v>226791</v>
      </c>
      <c r="F36" s="276" t="s">
        <v>57</v>
      </c>
    </row>
    <row r="37" spans="1:6" s="264" customFormat="1">
      <c r="A37" s="271" t="s">
        <v>94</v>
      </c>
      <c r="B37" s="306">
        <v>1429809</v>
      </c>
      <c r="C37" s="308">
        <v>1280697</v>
      </c>
      <c r="D37" s="309">
        <v>1402170</v>
      </c>
      <c r="E37" s="308">
        <v>1393044</v>
      </c>
      <c r="F37" s="276" t="s">
        <v>58</v>
      </c>
    </row>
    <row r="38" spans="1:6" s="264" customFormat="1">
      <c r="A38" s="271" t="s">
        <v>95</v>
      </c>
      <c r="B38" s="306">
        <v>384029</v>
      </c>
      <c r="C38" s="308">
        <v>410050</v>
      </c>
      <c r="D38" s="309">
        <v>414537</v>
      </c>
      <c r="E38" s="308">
        <v>418259</v>
      </c>
      <c r="F38" s="276" t="s">
        <v>58</v>
      </c>
    </row>
    <row r="39" spans="1:6" s="264" customFormat="1">
      <c r="A39" s="271" t="s">
        <v>96</v>
      </c>
      <c r="B39" s="306">
        <v>1565105</v>
      </c>
      <c r="C39" s="308">
        <v>1036821</v>
      </c>
      <c r="D39" s="309">
        <v>1190608</v>
      </c>
      <c r="E39" s="308">
        <v>1402006</v>
      </c>
      <c r="F39" s="276" t="s">
        <v>58</v>
      </c>
    </row>
    <row r="40" spans="1:6" s="264" customFormat="1">
      <c r="A40" s="271" t="s">
        <v>97</v>
      </c>
      <c r="B40" s="306">
        <v>60203</v>
      </c>
      <c r="C40" s="308">
        <v>52022</v>
      </c>
      <c r="D40" s="309">
        <v>55690</v>
      </c>
      <c r="E40" s="308">
        <v>60529</v>
      </c>
      <c r="F40" s="276" t="s">
        <v>58</v>
      </c>
    </row>
    <row r="41" spans="1:6" s="264" customFormat="1">
      <c r="A41" s="271" t="s">
        <v>98</v>
      </c>
      <c r="B41" s="309">
        <v>664790</v>
      </c>
      <c r="C41" s="308">
        <v>354203</v>
      </c>
      <c r="D41" s="309">
        <v>310870</v>
      </c>
      <c r="E41" s="308">
        <v>313578</v>
      </c>
      <c r="F41" s="276" t="s">
        <v>58</v>
      </c>
    </row>
    <row r="42" spans="1:6" s="264" customFormat="1">
      <c r="A42" s="283" t="s">
        <v>99</v>
      </c>
      <c r="B42" s="469">
        <v>932594</v>
      </c>
      <c r="C42" s="315">
        <v>835707</v>
      </c>
      <c r="D42" s="316">
        <v>935668</v>
      </c>
      <c r="E42" s="315">
        <v>994681</v>
      </c>
      <c r="F42" s="288" t="s">
        <v>58</v>
      </c>
    </row>
    <row r="43" spans="1:6" ht="15" thickBot="1">
      <c r="A43" s="318" t="s">
        <v>191</v>
      </c>
      <c r="B43" s="472">
        <f>SUM(B3:B42)</f>
        <v>68579065.169978648</v>
      </c>
      <c r="C43" s="472">
        <f>SUM(C3:C42)</f>
        <v>61109691.880000003</v>
      </c>
      <c r="D43" s="472">
        <f>SUM(D3:D42)</f>
        <v>63847931.5</v>
      </c>
      <c r="E43" s="472">
        <f>SUM(E3:E42)</f>
        <v>65797423</v>
      </c>
      <c r="F43" s="325"/>
    </row>
    <row r="44" spans="1:6">
      <c r="B44" s="319"/>
      <c r="C44" s="294"/>
    </row>
  </sheetData>
  <pageMargins left="0.25" right="0.25" top="0.75" bottom="0.75" header="0.3" footer="0.3"/>
  <pageSetup scale="83"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DC26E-93BE-496A-8923-7BF0DBCB261F}">
  <sheetPr>
    <pageSetUpPr fitToPage="1"/>
  </sheetPr>
  <dimension ref="A1:C43"/>
  <sheetViews>
    <sheetView zoomScaleNormal="100" workbookViewId="0"/>
  </sheetViews>
  <sheetFormatPr defaultColWidth="9.42578125" defaultRowHeight="14.25"/>
  <cols>
    <col min="1" max="1" width="46.5703125" style="296" bestFit="1" customWidth="1"/>
    <col min="2" max="2" width="17.42578125" style="296" customWidth="1"/>
    <col min="3" max="3" width="15.42578125" style="296" customWidth="1"/>
    <col min="4" max="16384" width="9.42578125" style="296"/>
  </cols>
  <sheetData>
    <row r="1" spans="1:3">
      <c r="A1" s="296" t="s">
        <v>213</v>
      </c>
      <c r="B1" s="326">
        <v>2023</v>
      </c>
    </row>
    <row r="2" spans="1:3">
      <c r="A2" s="327" t="s">
        <v>190</v>
      </c>
      <c r="B2" s="328" t="s">
        <v>192</v>
      </c>
    </row>
    <row r="3" spans="1:3" ht="15">
      <c r="A3" s="329" t="s">
        <v>60</v>
      </c>
      <c r="B3" s="330">
        <v>2496704</v>
      </c>
      <c r="C3" s="331" t="s">
        <v>49</v>
      </c>
    </row>
    <row r="4" spans="1:3" ht="15">
      <c r="A4" s="329" t="s">
        <v>61</v>
      </c>
      <c r="B4" s="330">
        <v>397573</v>
      </c>
      <c r="C4" s="331" t="s">
        <v>49</v>
      </c>
    </row>
    <row r="5" spans="1:3" ht="15">
      <c r="A5" s="329" t="s">
        <v>62</v>
      </c>
      <c r="B5" s="330">
        <f>2280925+415318</f>
        <v>2696243</v>
      </c>
      <c r="C5" s="331" t="s">
        <v>49</v>
      </c>
    </row>
    <row r="6" spans="1:3" ht="15">
      <c r="A6" s="329" t="s">
        <v>63</v>
      </c>
      <c r="B6" s="330">
        <v>2111050</v>
      </c>
      <c r="C6" s="331" t="s">
        <v>49</v>
      </c>
    </row>
    <row r="7" spans="1:3" ht="15">
      <c r="A7" s="329" t="s">
        <v>64</v>
      </c>
      <c r="B7" s="330">
        <v>450961</v>
      </c>
      <c r="C7" s="331" t="s">
        <v>49</v>
      </c>
    </row>
    <row r="8" spans="1:3" ht="15">
      <c r="A8" s="329" t="s">
        <v>65</v>
      </c>
      <c r="B8" s="473">
        <v>10488989</v>
      </c>
      <c r="C8" s="331" t="s">
        <v>50</v>
      </c>
    </row>
    <row r="9" spans="1:3" ht="15">
      <c r="A9" s="474"/>
      <c r="B9" s="475" t="s">
        <v>31</v>
      </c>
      <c r="C9" s="476"/>
    </row>
    <row r="10" spans="1:3" ht="15">
      <c r="A10" s="329" t="s">
        <v>66</v>
      </c>
      <c r="B10" s="330">
        <v>4150901</v>
      </c>
      <c r="C10" s="331" t="s">
        <v>51</v>
      </c>
    </row>
    <row r="11" spans="1:3" ht="15">
      <c r="A11" s="329" t="s">
        <v>67</v>
      </c>
      <c r="B11" s="330">
        <v>1970225</v>
      </c>
      <c r="C11" s="331" t="s">
        <v>104</v>
      </c>
    </row>
    <row r="12" spans="1:3" ht="15">
      <c r="A12" s="329" t="s">
        <v>68</v>
      </c>
      <c r="B12" s="330">
        <v>192534</v>
      </c>
      <c r="C12" s="331" t="s">
        <v>104</v>
      </c>
    </row>
    <row r="13" spans="1:3" ht="15">
      <c r="A13" s="329" t="s">
        <v>69</v>
      </c>
      <c r="B13" s="330">
        <v>119888784</v>
      </c>
      <c r="C13" s="331" t="s">
        <v>104</v>
      </c>
    </row>
    <row r="14" spans="1:3" ht="15">
      <c r="A14" s="329" t="s">
        <v>70</v>
      </c>
      <c r="B14" s="330">
        <v>1246809</v>
      </c>
      <c r="C14" s="331" t="s">
        <v>104</v>
      </c>
    </row>
    <row r="15" spans="1:3" ht="15">
      <c r="A15" s="329" t="s">
        <v>71</v>
      </c>
      <c r="B15" s="330">
        <v>50424</v>
      </c>
      <c r="C15" s="331" t="s">
        <v>104</v>
      </c>
    </row>
    <row r="16" spans="1:3" ht="15">
      <c r="A16" s="329" t="s">
        <v>72</v>
      </c>
      <c r="B16" s="330">
        <f>6960007+950667</f>
        <v>7910674</v>
      </c>
      <c r="C16" s="331" t="s">
        <v>104</v>
      </c>
    </row>
    <row r="17" spans="1:3" ht="15">
      <c r="A17" s="329" t="s">
        <v>73</v>
      </c>
      <c r="B17" s="330">
        <v>3419477</v>
      </c>
      <c r="C17" s="331" t="s">
        <v>53</v>
      </c>
    </row>
    <row r="18" spans="1:3" ht="15">
      <c r="A18" s="329" t="s">
        <v>74</v>
      </c>
      <c r="B18" s="330">
        <v>703038</v>
      </c>
      <c r="C18" s="331" t="s">
        <v>53</v>
      </c>
    </row>
    <row r="19" spans="1:3" ht="15">
      <c r="A19" s="329" t="s">
        <v>75</v>
      </c>
      <c r="B19" s="330">
        <v>8312589</v>
      </c>
      <c r="C19" s="331" t="s">
        <v>53</v>
      </c>
    </row>
    <row r="20" spans="1:3" ht="15">
      <c r="A20" s="329" t="s">
        <v>76</v>
      </c>
      <c r="B20" s="330">
        <v>177126</v>
      </c>
      <c r="C20" s="331" t="s">
        <v>53</v>
      </c>
    </row>
    <row r="21" spans="1:3" ht="15">
      <c r="A21" s="329" t="s">
        <v>77</v>
      </c>
      <c r="B21" s="330">
        <v>18874570</v>
      </c>
      <c r="C21" s="331" t="s">
        <v>103</v>
      </c>
    </row>
    <row r="22" spans="1:3" ht="15">
      <c r="A22" s="329" t="s">
        <v>78</v>
      </c>
      <c r="B22" s="330">
        <v>23750125</v>
      </c>
      <c r="C22" s="331" t="s">
        <v>103</v>
      </c>
    </row>
    <row r="23" spans="1:3" ht="15">
      <c r="A23" s="329" t="s">
        <v>79</v>
      </c>
      <c r="B23" s="477">
        <v>31898625</v>
      </c>
      <c r="C23" s="331" t="s">
        <v>103</v>
      </c>
    </row>
    <row r="24" spans="1:3" ht="15">
      <c r="A24" s="329" t="s">
        <v>80</v>
      </c>
      <c r="B24" s="330">
        <v>5328325</v>
      </c>
      <c r="C24" s="331" t="s">
        <v>103</v>
      </c>
    </row>
    <row r="25" spans="1:3" ht="15">
      <c r="A25" s="329" t="s">
        <v>81</v>
      </c>
      <c r="B25" s="330">
        <v>108069575</v>
      </c>
      <c r="C25" s="331" t="s">
        <v>103</v>
      </c>
    </row>
    <row r="26" spans="1:3" ht="15">
      <c r="A26" s="329" t="s">
        <v>82</v>
      </c>
      <c r="B26" s="475" t="s">
        <v>31</v>
      </c>
      <c r="C26" s="331" t="s">
        <v>103</v>
      </c>
    </row>
    <row r="27" spans="1:3" ht="15">
      <c r="A27" s="329" t="s">
        <v>83</v>
      </c>
      <c r="B27" s="330">
        <v>41578430</v>
      </c>
      <c r="C27" s="331" t="s">
        <v>103</v>
      </c>
    </row>
    <row r="28" spans="1:3" ht="15">
      <c r="A28" s="329" t="s">
        <v>84</v>
      </c>
      <c r="B28" s="330">
        <v>4660277</v>
      </c>
      <c r="C28" s="331" t="s">
        <v>55</v>
      </c>
    </row>
    <row r="29" spans="1:3" ht="15">
      <c r="A29" s="329" t="s">
        <v>85</v>
      </c>
      <c r="B29" s="330">
        <v>67417899</v>
      </c>
      <c r="C29" s="331" t="s">
        <v>55</v>
      </c>
    </row>
    <row r="30" spans="1:3" ht="15">
      <c r="A30" s="329" t="s">
        <v>86</v>
      </c>
      <c r="B30" s="330">
        <v>10986817</v>
      </c>
      <c r="C30" s="331" t="s">
        <v>56</v>
      </c>
    </row>
    <row r="31" spans="1:3" ht="15">
      <c r="A31" s="329" t="s">
        <v>87</v>
      </c>
      <c r="B31" s="330">
        <v>2604889</v>
      </c>
      <c r="C31" s="331" t="s">
        <v>56</v>
      </c>
    </row>
    <row r="32" spans="1:3" ht="15">
      <c r="A32" s="329" t="s">
        <v>88</v>
      </c>
      <c r="B32" s="330">
        <f>11579602+1165494</f>
        <v>12745096</v>
      </c>
      <c r="C32" s="331" t="s">
        <v>56</v>
      </c>
    </row>
    <row r="33" spans="1:3" ht="15">
      <c r="A33" s="329" t="s">
        <v>89</v>
      </c>
      <c r="B33" s="330">
        <v>736481</v>
      </c>
      <c r="C33" s="331" t="s">
        <v>56</v>
      </c>
    </row>
    <row r="34" spans="1:3" ht="15">
      <c r="A34" s="329" t="s">
        <v>90</v>
      </c>
      <c r="B34" s="330">
        <f>1004231+1064463</f>
        <v>2068694</v>
      </c>
      <c r="C34" s="331" t="s">
        <v>57</v>
      </c>
    </row>
    <row r="35" spans="1:3" ht="15">
      <c r="A35" s="329" t="s">
        <v>91</v>
      </c>
      <c r="B35" s="330">
        <v>6482376</v>
      </c>
      <c r="C35" s="331" t="s">
        <v>57</v>
      </c>
    </row>
    <row r="36" spans="1:3" ht="15">
      <c r="A36" s="329" t="s">
        <v>93</v>
      </c>
      <c r="B36" s="330">
        <v>1899811</v>
      </c>
      <c r="C36" s="331" t="s">
        <v>57</v>
      </c>
    </row>
    <row r="37" spans="1:3" ht="15">
      <c r="A37" s="329" t="s">
        <v>94</v>
      </c>
      <c r="B37" s="330">
        <v>4550086</v>
      </c>
      <c r="C37" s="331" t="s">
        <v>58</v>
      </c>
    </row>
    <row r="38" spans="1:3" ht="15">
      <c r="A38" s="329" t="s">
        <v>95</v>
      </c>
      <c r="B38" s="330">
        <v>705034</v>
      </c>
      <c r="C38" s="331" t="s">
        <v>58</v>
      </c>
    </row>
    <row r="39" spans="1:3" ht="15">
      <c r="A39" s="329" t="s">
        <v>96</v>
      </c>
      <c r="B39" s="330">
        <f>4279194+4208338</f>
        <v>8487532</v>
      </c>
      <c r="C39" s="331" t="s">
        <v>58</v>
      </c>
    </row>
    <row r="40" spans="1:3" ht="15">
      <c r="A40" s="329" t="s">
        <v>97</v>
      </c>
      <c r="B40" s="330">
        <v>170603</v>
      </c>
      <c r="C40" s="331" t="s">
        <v>58</v>
      </c>
    </row>
    <row r="41" spans="1:3" ht="15">
      <c r="A41" s="329" t="s">
        <v>98</v>
      </c>
      <c r="B41" s="330">
        <v>1199851</v>
      </c>
      <c r="C41" s="331" t="s">
        <v>58</v>
      </c>
    </row>
    <row r="42" spans="1:3" ht="15">
      <c r="A42" s="329" t="s">
        <v>99</v>
      </c>
      <c r="B42" s="330">
        <v>4543756</v>
      </c>
      <c r="C42" s="331" t="s">
        <v>58</v>
      </c>
    </row>
    <row r="43" spans="1:3">
      <c r="A43" s="334" t="s">
        <v>191</v>
      </c>
      <c r="B43" s="335">
        <f>SUM(B3:B42)</f>
        <v>525422953</v>
      </c>
      <c r="C43" s="336"/>
    </row>
  </sheetData>
  <pageMargins left="0.25" right="0.25" top="0.75" bottom="0.75" header="0.3" footer="0.3"/>
  <pageSetup scale="3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438F6-224D-4BB4-8218-B8206DC264CB}">
  <sheetPr>
    <pageSetUpPr fitToPage="1"/>
  </sheetPr>
  <dimension ref="A1:F44"/>
  <sheetViews>
    <sheetView zoomScaleNormal="100" workbookViewId="0"/>
  </sheetViews>
  <sheetFormatPr defaultColWidth="9.42578125" defaultRowHeight="14.25"/>
  <cols>
    <col min="1" max="1" width="46.5703125" style="296" bestFit="1" customWidth="1"/>
    <col min="2" max="4" width="16.5703125" style="320" customWidth="1"/>
    <col min="5" max="5" width="16.5703125" style="296" customWidth="1"/>
    <col min="6" max="6" width="16.42578125" style="296" customWidth="1"/>
    <col min="7" max="16384" width="9.42578125" style="296"/>
  </cols>
  <sheetData>
    <row r="1" spans="1:6">
      <c r="A1" s="296" t="s">
        <v>214</v>
      </c>
      <c r="B1" s="326">
        <v>2019</v>
      </c>
      <c r="C1" s="326">
        <v>2021</v>
      </c>
      <c r="D1" s="326">
        <v>2022</v>
      </c>
      <c r="E1" s="326">
        <v>2023</v>
      </c>
    </row>
    <row r="2" spans="1:6" ht="30" customHeight="1">
      <c r="A2" s="337" t="s">
        <v>190</v>
      </c>
      <c r="B2" s="478" t="s">
        <v>193</v>
      </c>
      <c r="C2" s="478" t="s">
        <v>193</v>
      </c>
      <c r="D2" s="478" t="s">
        <v>193</v>
      </c>
      <c r="E2" s="478" t="s">
        <v>193</v>
      </c>
    </row>
    <row r="3" spans="1:6" ht="15">
      <c r="A3" s="327" t="s">
        <v>60</v>
      </c>
      <c r="B3" s="339">
        <v>1704406</v>
      </c>
      <c r="C3" s="340">
        <v>1885201</v>
      </c>
      <c r="D3" s="341">
        <v>2305461</v>
      </c>
      <c r="E3" s="342">
        <v>2499963</v>
      </c>
      <c r="F3" s="331" t="s">
        <v>49</v>
      </c>
    </row>
    <row r="4" spans="1:6" ht="15">
      <c r="A4" s="327" t="s">
        <v>61</v>
      </c>
      <c r="B4" s="339">
        <v>408394</v>
      </c>
      <c r="C4" s="340">
        <v>420143</v>
      </c>
      <c r="D4" s="341">
        <v>453078</v>
      </c>
      <c r="E4" s="342">
        <v>398814</v>
      </c>
      <c r="F4" s="331" t="s">
        <v>49</v>
      </c>
    </row>
    <row r="5" spans="1:6" ht="15">
      <c r="A5" s="327" t="s">
        <v>62</v>
      </c>
      <c r="B5" s="339">
        <v>2142765</v>
      </c>
      <c r="C5" s="340">
        <v>2417284</v>
      </c>
      <c r="D5" s="341">
        <f>2197137+427921</f>
        <v>2625058</v>
      </c>
      <c r="E5" s="342">
        <f>2286563+415318</f>
        <v>2701881</v>
      </c>
      <c r="F5" s="331" t="s">
        <v>49</v>
      </c>
    </row>
    <row r="6" spans="1:6" ht="15">
      <c r="A6" s="327" t="s">
        <v>63</v>
      </c>
      <c r="B6" s="339">
        <v>1503619</v>
      </c>
      <c r="C6" s="340">
        <v>1490840</v>
      </c>
      <c r="D6" s="341">
        <v>2166873</v>
      </c>
      <c r="E6" s="342">
        <v>2152208</v>
      </c>
      <c r="F6" s="331" t="s">
        <v>49</v>
      </c>
    </row>
    <row r="7" spans="1:6" ht="15">
      <c r="A7" s="327" t="s">
        <v>64</v>
      </c>
      <c r="B7" s="339">
        <v>312912</v>
      </c>
      <c r="C7" s="340">
        <v>362879</v>
      </c>
      <c r="D7" s="341">
        <v>476060</v>
      </c>
      <c r="E7" s="342">
        <v>456069</v>
      </c>
      <c r="F7" s="331" t="s">
        <v>49</v>
      </c>
    </row>
    <row r="8" spans="1:6" ht="15">
      <c r="A8" s="327" t="s">
        <v>65</v>
      </c>
      <c r="B8" s="339">
        <v>8787907</v>
      </c>
      <c r="C8" s="340">
        <v>9097088</v>
      </c>
      <c r="D8" s="341">
        <v>9197369</v>
      </c>
      <c r="E8" s="342">
        <v>10488989</v>
      </c>
      <c r="F8" s="331" t="s">
        <v>50</v>
      </c>
    </row>
    <row r="9" spans="1:6" ht="15">
      <c r="A9" s="327"/>
      <c r="B9" s="339">
        <v>0</v>
      </c>
      <c r="C9" s="340">
        <v>0</v>
      </c>
      <c r="D9" s="341">
        <v>0</v>
      </c>
      <c r="E9" s="342" t="s">
        <v>31</v>
      </c>
      <c r="F9" s="331"/>
    </row>
    <row r="10" spans="1:6" ht="15">
      <c r="A10" s="327" t="s">
        <v>66</v>
      </c>
      <c r="B10" s="339">
        <v>3794064</v>
      </c>
      <c r="C10" s="340">
        <v>3992271</v>
      </c>
      <c r="D10" s="341">
        <v>4537045</v>
      </c>
      <c r="E10" s="342">
        <v>4568165</v>
      </c>
      <c r="F10" s="331" t="s">
        <v>51</v>
      </c>
    </row>
    <row r="11" spans="1:6" ht="15">
      <c r="A11" s="327" t="s">
        <v>67</v>
      </c>
      <c r="B11" s="339">
        <v>1302116</v>
      </c>
      <c r="C11" s="340">
        <v>1445143</v>
      </c>
      <c r="D11" s="341">
        <v>1726724</v>
      </c>
      <c r="E11" s="342">
        <v>1970225</v>
      </c>
      <c r="F11" s="331" t="s">
        <v>104</v>
      </c>
    </row>
    <row r="12" spans="1:6" ht="15">
      <c r="A12" s="327" t="s">
        <v>68</v>
      </c>
      <c r="B12" s="339">
        <v>137016</v>
      </c>
      <c r="C12" s="340">
        <v>150877</v>
      </c>
      <c r="D12" s="341">
        <v>167538</v>
      </c>
      <c r="E12" s="342">
        <v>195234</v>
      </c>
      <c r="F12" s="331" t="s">
        <v>104</v>
      </c>
    </row>
    <row r="13" spans="1:6" ht="15">
      <c r="A13" s="327" t="s">
        <v>69</v>
      </c>
      <c r="B13" s="339">
        <v>96559705</v>
      </c>
      <c r="C13" s="345">
        <v>104883123</v>
      </c>
      <c r="D13" s="341">
        <v>99766003</v>
      </c>
      <c r="E13" s="342">
        <v>120169392</v>
      </c>
      <c r="F13" s="331" t="s">
        <v>104</v>
      </c>
    </row>
    <row r="14" spans="1:6" ht="15">
      <c r="A14" s="327" t="s">
        <v>70</v>
      </c>
      <c r="B14" s="339">
        <v>743417</v>
      </c>
      <c r="C14" s="340">
        <v>993897</v>
      </c>
      <c r="D14" s="341">
        <v>1200984</v>
      </c>
      <c r="E14" s="342">
        <v>1246809</v>
      </c>
      <c r="F14" s="331" t="s">
        <v>104</v>
      </c>
    </row>
    <row r="15" spans="1:6" ht="15">
      <c r="A15" s="327" t="s">
        <v>71</v>
      </c>
      <c r="B15" s="339">
        <v>94002</v>
      </c>
      <c r="C15" s="340">
        <v>78491</v>
      </c>
      <c r="D15" s="341">
        <v>67079</v>
      </c>
      <c r="E15" s="342">
        <v>50424</v>
      </c>
      <c r="F15" s="331" t="s">
        <v>104</v>
      </c>
    </row>
    <row r="16" spans="1:6" ht="15">
      <c r="A16" s="327" t="s">
        <v>72</v>
      </c>
      <c r="B16" s="339">
        <v>7556622</v>
      </c>
      <c r="C16" s="345">
        <v>7106671</v>
      </c>
      <c r="D16" s="341">
        <f>6441826+1022458</f>
        <v>7464284</v>
      </c>
      <c r="E16" s="342">
        <f>6960007+950667</f>
        <v>7910674</v>
      </c>
      <c r="F16" s="331" t="s">
        <v>104</v>
      </c>
    </row>
    <row r="17" spans="1:6" ht="15">
      <c r="A17" s="327" t="s">
        <v>73</v>
      </c>
      <c r="B17" s="339">
        <v>2936216</v>
      </c>
      <c r="C17" s="340">
        <v>2798006</v>
      </c>
      <c r="D17" s="341">
        <v>3169013</v>
      </c>
      <c r="E17" s="342">
        <v>3679008</v>
      </c>
      <c r="F17" s="331" t="s">
        <v>53</v>
      </c>
    </row>
    <row r="18" spans="1:6" ht="15">
      <c r="A18" s="327" t="s">
        <v>74</v>
      </c>
      <c r="B18" s="339">
        <v>680721</v>
      </c>
      <c r="C18" s="340">
        <v>618607</v>
      </c>
      <c r="D18" s="341">
        <v>605988</v>
      </c>
      <c r="E18" s="342">
        <v>703038</v>
      </c>
      <c r="F18" s="331" t="s">
        <v>53</v>
      </c>
    </row>
    <row r="19" spans="1:6" ht="15">
      <c r="A19" s="327" t="s">
        <v>75</v>
      </c>
      <c r="B19" s="339">
        <v>8090443</v>
      </c>
      <c r="C19" s="340">
        <v>6699359</v>
      </c>
      <c r="D19" s="341">
        <v>7696112</v>
      </c>
      <c r="E19" s="342">
        <v>8675119</v>
      </c>
      <c r="F19" s="331" t="s">
        <v>53</v>
      </c>
    </row>
    <row r="20" spans="1:6" ht="15">
      <c r="A20" s="327" t="s">
        <v>76</v>
      </c>
      <c r="B20" s="339">
        <v>105808</v>
      </c>
      <c r="C20" s="340">
        <v>115693</v>
      </c>
      <c r="D20" s="341">
        <v>107836</v>
      </c>
      <c r="E20" s="342">
        <v>177251</v>
      </c>
      <c r="F20" s="331" t="s">
        <v>53</v>
      </c>
    </row>
    <row r="21" spans="1:6" ht="15">
      <c r="A21" s="327" t="s">
        <v>77</v>
      </c>
      <c r="B21" s="339">
        <v>19976846</v>
      </c>
      <c r="C21" s="340">
        <v>17358937</v>
      </c>
      <c r="D21" s="341">
        <v>15647246</v>
      </c>
      <c r="E21" s="342">
        <v>18874570</v>
      </c>
      <c r="F21" s="331" t="s">
        <v>103</v>
      </c>
    </row>
    <row r="22" spans="1:6" ht="15">
      <c r="A22" s="327" t="s">
        <v>78</v>
      </c>
      <c r="B22" s="339">
        <v>16006416</v>
      </c>
      <c r="C22" s="340">
        <v>20953458</v>
      </c>
      <c r="D22" s="341">
        <v>26239078</v>
      </c>
      <c r="E22" s="342">
        <v>23750125</v>
      </c>
      <c r="F22" s="331" t="s">
        <v>103</v>
      </c>
    </row>
    <row r="23" spans="1:6" ht="15">
      <c r="A23" s="327" t="s">
        <v>79</v>
      </c>
      <c r="B23" s="339">
        <v>20927678</v>
      </c>
      <c r="C23" s="340">
        <v>24099554</v>
      </c>
      <c r="D23" s="341">
        <v>27269531</v>
      </c>
      <c r="E23" s="342">
        <v>32028446</v>
      </c>
      <c r="F23" s="331" t="s">
        <v>103</v>
      </c>
    </row>
    <row r="24" spans="1:6" ht="15">
      <c r="A24" s="327" t="s">
        <v>80</v>
      </c>
      <c r="B24" s="339">
        <v>3975210</v>
      </c>
      <c r="C24" s="340">
        <v>4566109</v>
      </c>
      <c r="D24" s="341">
        <v>5346157</v>
      </c>
      <c r="E24" s="342">
        <v>5328325</v>
      </c>
      <c r="F24" s="331" t="s">
        <v>103</v>
      </c>
    </row>
    <row r="25" spans="1:6" ht="15">
      <c r="A25" s="327" t="s">
        <v>81</v>
      </c>
      <c r="B25" s="339">
        <v>84690252</v>
      </c>
      <c r="C25" s="340">
        <v>96368493</v>
      </c>
      <c r="D25" s="341">
        <v>103826125</v>
      </c>
      <c r="E25" s="342">
        <v>108453691</v>
      </c>
      <c r="F25" s="331" t="s">
        <v>103</v>
      </c>
    </row>
    <row r="26" spans="1:6" ht="15">
      <c r="A26" s="327" t="s">
        <v>82</v>
      </c>
      <c r="B26" s="339">
        <v>77462324</v>
      </c>
      <c r="C26" s="340">
        <v>81589639</v>
      </c>
      <c r="D26" s="341">
        <v>82086963</v>
      </c>
      <c r="E26" s="342" t="s">
        <v>31</v>
      </c>
      <c r="F26" s="331" t="s">
        <v>103</v>
      </c>
    </row>
    <row r="27" spans="1:6" ht="15">
      <c r="A27" s="327" t="s">
        <v>83</v>
      </c>
      <c r="B27" s="339">
        <v>32732408</v>
      </c>
      <c r="C27" s="340">
        <v>36961071</v>
      </c>
      <c r="D27" s="341">
        <v>39737337</v>
      </c>
      <c r="E27" s="342">
        <v>45655907</v>
      </c>
      <c r="F27" s="331" t="s">
        <v>103</v>
      </c>
    </row>
    <row r="28" spans="1:6" ht="15">
      <c r="A28" s="327" t="s">
        <v>84</v>
      </c>
      <c r="B28" s="339">
        <v>3576413</v>
      </c>
      <c r="C28" s="340">
        <v>4655649</v>
      </c>
      <c r="D28" s="341">
        <v>4080556</v>
      </c>
      <c r="E28" s="342">
        <v>4736557</v>
      </c>
      <c r="F28" s="331" t="s">
        <v>55</v>
      </c>
    </row>
    <row r="29" spans="1:6" ht="15">
      <c r="A29" s="327" t="s">
        <v>85</v>
      </c>
      <c r="B29" s="339">
        <v>51428352</v>
      </c>
      <c r="C29" s="340">
        <v>64863638</v>
      </c>
      <c r="D29" s="341">
        <v>58367488</v>
      </c>
      <c r="E29" s="342">
        <v>68802962</v>
      </c>
      <c r="F29" s="331" t="s">
        <v>55</v>
      </c>
    </row>
    <row r="30" spans="1:6" ht="15">
      <c r="A30" s="327" t="s">
        <v>86</v>
      </c>
      <c r="B30" s="339">
        <v>9105239</v>
      </c>
      <c r="C30" s="340">
        <v>9918427</v>
      </c>
      <c r="D30" s="341">
        <v>10001495</v>
      </c>
      <c r="E30" s="342">
        <v>12020724</v>
      </c>
      <c r="F30" s="331" t="s">
        <v>56</v>
      </c>
    </row>
    <row r="31" spans="1:6" ht="15">
      <c r="A31" s="327" t="s">
        <v>87</v>
      </c>
      <c r="B31" s="339">
        <v>1572280</v>
      </c>
      <c r="C31" s="340">
        <v>1675170</v>
      </c>
      <c r="D31" s="341">
        <v>1758084</v>
      </c>
      <c r="E31" s="342">
        <v>2609867</v>
      </c>
      <c r="F31" s="331" t="s">
        <v>56</v>
      </c>
    </row>
    <row r="32" spans="1:6" ht="15">
      <c r="A32" s="327" t="s">
        <v>88</v>
      </c>
      <c r="B32" s="339">
        <v>10440607</v>
      </c>
      <c r="C32" s="340">
        <v>10417569</v>
      </c>
      <c r="D32" s="346">
        <f>9645948+978360</f>
        <v>10624308</v>
      </c>
      <c r="E32" s="330">
        <f>11579602+1165494</f>
        <v>12745096</v>
      </c>
      <c r="F32" s="331" t="s">
        <v>56</v>
      </c>
    </row>
    <row r="33" spans="1:6" ht="15">
      <c r="A33" s="327" t="s">
        <v>89</v>
      </c>
      <c r="B33" s="339">
        <v>733936</v>
      </c>
      <c r="C33" s="340">
        <v>798818</v>
      </c>
      <c r="D33" s="341">
        <v>788081</v>
      </c>
      <c r="E33" s="342">
        <v>736481</v>
      </c>
      <c r="F33" s="331" t="s">
        <v>56</v>
      </c>
    </row>
    <row r="34" spans="1:6" ht="15">
      <c r="A34" s="327" t="s">
        <v>90</v>
      </c>
      <c r="B34" s="339">
        <v>2120796</v>
      </c>
      <c r="C34" s="340">
        <v>2288742</v>
      </c>
      <c r="D34" s="341">
        <f>1677633+845055</f>
        <v>2522688</v>
      </c>
      <c r="E34" s="342">
        <f>1310251+1737156</f>
        <v>3047407</v>
      </c>
      <c r="F34" s="331" t="s">
        <v>57</v>
      </c>
    </row>
    <row r="35" spans="1:6" ht="15">
      <c r="A35" s="327" t="s">
        <v>91</v>
      </c>
      <c r="B35" s="339">
        <v>4923501</v>
      </c>
      <c r="C35" s="340">
        <v>5921804</v>
      </c>
      <c r="D35" s="341">
        <v>5960670</v>
      </c>
      <c r="E35" s="342">
        <v>6578658</v>
      </c>
      <c r="F35" s="331" t="s">
        <v>57</v>
      </c>
    </row>
    <row r="36" spans="1:6" ht="15">
      <c r="A36" s="327" t="s">
        <v>93</v>
      </c>
      <c r="B36" s="339">
        <v>1130919</v>
      </c>
      <c r="C36" s="340">
        <v>1269764</v>
      </c>
      <c r="D36" s="341">
        <v>1423713</v>
      </c>
      <c r="E36" s="342">
        <v>1923269</v>
      </c>
      <c r="F36" s="331" t="s">
        <v>57</v>
      </c>
    </row>
    <row r="37" spans="1:6" ht="15">
      <c r="A37" s="327" t="s">
        <v>94</v>
      </c>
      <c r="B37" s="339">
        <v>3611536</v>
      </c>
      <c r="C37" s="340">
        <v>3904286</v>
      </c>
      <c r="D37" s="341">
        <v>4637640</v>
      </c>
      <c r="E37" s="342">
        <v>5000804</v>
      </c>
      <c r="F37" s="331" t="s">
        <v>58</v>
      </c>
    </row>
    <row r="38" spans="1:6" ht="15">
      <c r="A38" s="327" t="s">
        <v>95</v>
      </c>
      <c r="B38" s="339">
        <v>409057</v>
      </c>
      <c r="C38" s="340">
        <v>578833</v>
      </c>
      <c r="D38" s="341">
        <v>573381</v>
      </c>
      <c r="E38" s="342">
        <v>716454</v>
      </c>
      <c r="F38" s="331" t="s">
        <v>58</v>
      </c>
    </row>
    <row r="39" spans="1:6" ht="15">
      <c r="A39" s="327" t="s">
        <v>96</v>
      </c>
      <c r="B39" s="339">
        <f>6853917+1111756</f>
        <v>7965673</v>
      </c>
      <c r="C39" s="340">
        <v>8461164</v>
      </c>
      <c r="D39" s="341">
        <f>3756448+3918424</f>
        <v>7674872</v>
      </c>
      <c r="E39" s="342">
        <f>4352125+4264004</f>
        <v>8616129</v>
      </c>
      <c r="F39" s="331" t="s">
        <v>58</v>
      </c>
    </row>
    <row r="40" spans="1:6" ht="15">
      <c r="A40" s="327" t="s">
        <v>97</v>
      </c>
      <c r="B40" s="339">
        <v>143885</v>
      </c>
      <c r="C40" s="340">
        <v>146394</v>
      </c>
      <c r="D40" s="341">
        <v>162010</v>
      </c>
      <c r="E40" s="342">
        <v>170603</v>
      </c>
      <c r="F40" s="331" t="s">
        <v>58</v>
      </c>
    </row>
    <row r="41" spans="1:6" ht="15">
      <c r="A41" s="327" t="s">
        <v>98</v>
      </c>
      <c r="B41" s="339">
        <v>1405969</v>
      </c>
      <c r="C41" s="340">
        <v>1217295</v>
      </c>
      <c r="D41" s="341">
        <v>1442390</v>
      </c>
      <c r="E41" s="342">
        <v>1347958</v>
      </c>
      <c r="F41" s="331" t="s">
        <v>58</v>
      </c>
    </row>
    <row r="42" spans="1:6" ht="15">
      <c r="A42" s="337" t="s">
        <v>99</v>
      </c>
      <c r="B42" s="339">
        <v>3146640</v>
      </c>
      <c r="C42" s="340">
        <v>3325310</v>
      </c>
      <c r="D42" s="341">
        <v>4022350</v>
      </c>
      <c r="E42" s="342">
        <v>4658904</v>
      </c>
      <c r="F42" s="331" t="s">
        <v>58</v>
      </c>
    </row>
    <row r="43" spans="1:6">
      <c r="A43" s="327" t="s">
        <v>191</v>
      </c>
      <c r="B43" s="347">
        <f>SUM(B3:B42)</f>
        <v>494346070</v>
      </c>
      <c r="C43" s="347">
        <f>SUM(C3:C42)</f>
        <v>545895697</v>
      </c>
      <c r="D43" s="348">
        <f>SUM(D3:D42)</f>
        <v>557924668</v>
      </c>
      <c r="E43" s="349">
        <f>SUM(E3:E42)</f>
        <v>535846200</v>
      </c>
    </row>
    <row r="44" spans="1:6">
      <c r="B44" s="319"/>
      <c r="C44" s="319"/>
    </row>
  </sheetData>
  <pageMargins left="0.25" right="0.25" top="0.75" bottom="0.75" header="0.3" footer="0.3"/>
  <pageSetup scale="78"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4AB1E-99D1-4ADF-96C2-4491C7B30E84}">
  <sheetPr>
    <pageSetUpPr fitToPage="1"/>
  </sheetPr>
  <dimension ref="A1:F44"/>
  <sheetViews>
    <sheetView zoomScaleNormal="100" workbookViewId="0"/>
  </sheetViews>
  <sheetFormatPr defaultColWidth="9.28515625" defaultRowHeight="14.25"/>
  <cols>
    <col min="1" max="1" width="46.7109375" style="264" bestFit="1" customWidth="1"/>
    <col min="2" max="4" width="15.7109375" style="295" customWidth="1"/>
    <col min="5" max="6" width="15.7109375" style="264" customWidth="1"/>
    <col min="7" max="16384" width="9.28515625" style="264"/>
  </cols>
  <sheetData>
    <row r="1" spans="1:6">
      <c r="B1" s="265">
        <v>2018</v>
      </c>
      <c r="C1" s="265">
        <v>2019</v>
      </c>
      <c r="D1" s="265">
        <v>2021</v>
      </c>
      <c r="E1" s="265">
        <v>2022</v>
      </c>
    </row>
    <row r="2" spans="1:6">
      <c r="A2" s="482" t="s">
        <v>190</v>
      </c>
      <c r="B2" s="483" t="s">
        <v>15</v>
      </c>
      <c r="C2" s="483" t="s">
        <v>15</v>
      </c>
      <c r="D2" s="483" t="s">
        <v>15</v>
      </c>
      <c r="E2" s="483" t="s">
        <v>15</v>
      </c>
      <c r="F2" s="484"/>
    </row>
    <row r="3" spans="1:6">
      <c r="A3" s="485" t="s">
        <v>60</v>
      </c>
      <c r="B3" s="486">
        <v>151919</v>
      </c>
      <c r="C3" s="487">
        <v>155198</v>
      </c>
      <c r="D3" s="486">
        <v>88190</v>
      </c>
      <c r="E3" s="487">
        <v>97489</v>
      </c>
      <c r="F3" s="331" t="s">
        <v>49</v>
      </c>
    </row>
    <row r="4" spans="1:6">
      <c r="A4" s="485" t="s">
        <v>61</v>
      </c>
      <c r="B4" s="486">
        <v>53158</v>
      </c>
      <c r="C4" s="487">
        <v>53329</v>
      </c>
      <c r="D4" s="486">
        <v>14932</v>
      </c>
      <c r="E4" s="487">
        <v>35313</v>
      </c>
      <c r="F4" s="331" t="s">
        <v>49</v>
      </c>
    </row>
    <row r="5" spans="1:6">
      <c r="A5" s="485" t="s">
        <v>62</v>
      </c>
      <c r="B5" s="486">
        <v>168385</v>
      </c>
      <c r="C5" s="487">
        <v>167736</v>
      </c>
      <c r="D5" s="486">
        <v>118746</v>
      </c>
      <c r="E5" s="487">
        <v>135181</v>
      </c>
      <c r="F5" s="331" t="s">
        <v>49</v>
      </c>
    </row>
    <row r="6" spans="1:6">
      <c r="A6" s="485" t="s">
        <v>63</v>
      </c>
      <c r="B6" s="486">
        <v>96281</v>
      </c>
      <c r="C6" s="487">
        <v>98383</v>
      </c>
      <c r="D6" s="486">
        <v>47469</v>
      </c>
      <c r="E6" s="487">
        <v>100658</v>
      </c>
      <c r="F6" s="331" t="s">
        <v>49</v>
      </c>
    </row>
    <row r="7" spans="1:6">
      <c r="A7" s="485" t="s">
        <v>64</v>
      </c>
      <c r="B7" s="486">
        <v>42374</v>
      </c>
      <c r="C7" s="487">
        <v>45092</v>
      </c>
      <c r="D7" s="486">
        <v>31626</v>
      </c>
      <c r="E7" s="487">
        <v>29128</v>
      </c>
      <c r="F7" s="331" t="s">
        <v>49</v>
      </c>
    </row>
    <row r="8" spans="1:6">
      <c r="A8" s="485" t="s">
        <v>65</v>
      </c>
      <c r="B8" s="486">
        <v>2052376</v>
      </c>
      <c r="C8" s="488">
        <v>1871952</v>
      </c>
      <c r="D8" s="486">
        <v>617010</v>
      </c>
      <c r="E8" s="488">
        <v>1154287</v>
      </c>
      <c r="F8" s="331" t="s">
        <v>50</v>
      </c>
    </row>
    <row r="9" spans="1:6">
      <c r="A9" s="489"/>
      <c r="B9" s="490" t="s">
        <v>212</v>
      </c>
      <c r="C9" s="491" t="s">
        <v>212</v>
      </c>
      <c r="D9" s="490" t="s">
        <v>212</v>
      </c>
      <c r="E9" s="491" t="s">
        <v>212</v>
      </c>
      <c r="F9" s="476"/>
    </row>
    <row r="10" spans="1:6">
      <c r="A10" s="485" t="s">
        <v>66</v>
      </c>
      <c r="B10" s="486">
        <v>324780</v>
      </c>
      <c r="C10" s="488">
        <v>296632</v>
      </c>
      <c r="D10" s="486">
        <v>142040</v>
      </c>
      <c r="E10" s="488">
        <v>179874</v>
      </c>
      <c r="F10" s="331" t="s">
        <v>51</v>
      </c>
    </row>
    <row r="11" spans="1:6">
      <c r="A11" s="485" t="s">
        <v>67</v>
      </c>
      <c r="B11" s="486">
        <v>111906</v>
      </c>
      <c r="C11" s="488">
        <v>130410</v>
      </c>
      <c r="D11" s="486">
        <v>108658</v>
      </c>
      <c r="E11" s="488">
        <v>75266</v>
      </c>
      <c r="F11" s="331" t="s">
        <v>104</v>
      </c>
    </row>
    <row r="12" spans="1:6">
      <c r="A12" s="485" t="s">
        <v>68</v>
      </c>
      <c r="B12" s="486">
        <v>3946</v>
      </c>
      <c r="C12" s="488">
        <v>7825</v>
      </c>
      <c r="D12" s="486">
        <v>4105</v>
      </c>
      <c r="E12" s="488">
        <v>5437</v>
      </c>
      <c r="F12" s="331" t="s">
        <v>104</v>
      </c>
    </row>
    <row r="13" spans="1:6">
      <c r="A13" s="485" t="s">
        <v>69</v>
      </c>
      <c r="B13" s="486">
        <v>13761674</v>
      </c>
      <c r="C13" s="488">
        <v>13206003</v>
      </c>
      <c r="D13" s="486">
        <v>6450801</v>
      </c>
      <c r="E13" s="488">
        <v>6381801</v>
      </c>
      <c r="F13" s="331" t="s">
        <v>104</v>
      </c>
    </row>
    <row r="14" spans="1:6">
      <c r="A14" s="485" t="s">
        <v>70</v>
      </c>
      <c r="B14" s="486">
        <v>87201</v>
      </c>
      <c r="C14" s="488">
        <v>89876</v>
      </c>
      <c r="D14" s="486">
        <v>51934</v>
      </c>
      <c r="E14" s="488">
        <v>63727</v>
      </c>
      <c r="F14" s="331" t="s">
        <v>104</v>
      </c>
    </row>
    <row r="15" spans="1:6">
      <c r="A15" s="485" t="s">
        <v>71</v>
      </c>
      <c r="B15" s="486">
        <v>11873</v>
      </c>
      <c r="C15" s="488">
        <v>12418</v>
      </c>
      <c r="D15" s="486">
        <v>1358</v>
      </c>
      <c r="E15" s="488">
        <v>3001</v>
      </c>
      <c r="F15" s="331" t="s">
        <v>104</v>
      </c>
    </row>
    <row r="16" spans="1:6">
      <c r="A16" s="485" t="s">
        <v>72</v>
      </c>
      <c r="B16" s="486">
        <v>2253353</v>
      </c>
      <c r="C16" s="488">
        <v>2202349</v>
      </c>
      <c r="D16" s="486">
        <v>1122301</v>
      </c>
      <c r="E16" s="488">
        <v>1544283</v>
      </c>
      <c r="F16" s="331" t="s">
        <v>104</v>
      </c>
    </row>
    <row r="17" spans="1:6">
      <c r="A17" s="485" t="s">
        <v>73</v>
      </c>
      <c r="B17" s="486">
        <v>322259</v>
      </c>
      <c r="C17" s="488">
        <v>319936</v>
      </c>
      <c r="D17" s="486">
        <v>220931</v>
      </c>
      <c r="E17" s="488">
        <v>228559</v>
      </c>
      <c r="F17" s="331" t="s">
        <v>53</v>
      </c>
    </row>
    <row r="18" spans="1:6">
      <c r="A18" s="485" t="s">
        <v>74</v>
      </c>
      <c r="B18" s="486">
        <v>157818</v>
      </c>
      <c r="C18" s="488">
        <v>172051</v>
      </c>
      <c r="D18" s="486">
        <v>89042</v>
      </c>
      <c r="E18" s="488">
        <v>77681</v>
      </c>
      <c r="F18" s="331" t="s">
        <v>53</v>
      </c>
    </row>
    <row r="19" spans="1:6">
      <c r="A19" s="485" t="s">
        <v>75</v>
      </c>
      <c r="B19" s="486">
        <v>2325667</v>
      </c>
      <c r="C19" s="488">
        <v>2018554</v>
      </c>
      <c r="D19" s="486">
        <v>468071</v>
      </c>
      <c r="E19" s="488">
        <v>445943</v>
      </c>
      <c r="F19" s="331" t="s">
        <v>53</v>
      </c>
    </row>
    <row r="20" spans="1:6">
      <c r="A20" s="485" t="s">
        <v>76</v>
      </c>
      <c r="B20" s="486">
        <v>19584</v>
      </c>
      <c r="C20" s="487">
        <v>17939</v>
      </c>
      <c r="D20" s="486">
        <v>14112</v>
      </c>
      <c r="E20" s="487">
        <v>14878</v>
      </c>
      <c r="F20" s="331" t="s">
        <v>53</v>
      </c>
    </row>
    <row r="21" spans="1:6">
      <c r="A21" s="485" t="s">
        <v>77</v>
      </c>
      <c r="B21" s="486">
        <v>1696062</v>
      </c>
      <c r="C21" s="488">
        <v>1708148</v>
      </c>
      <c r="D21" s="486">
        <v>335253</v>
      </c>
      <c r="E21" s="488">
        <v>421563</v>
      </c>
      <c r="F21" s="331" t="s">
        <v>103</v>
      </c>
    </row>
    <row r="22" spans="1:6">
      <c r="A22" s="485" t="s">
        <v>78</v>
      </c>
      <c r="B22" s="486">
        <v>3084105</v>
      </c>
      <c r="C22" s="488">
        <v>2917849</v>
      </c>
      <c r="D22" s="486">
        <v>1423589</v>
      </c>
      <c r="E22" s="488">
        <v>1815957</v>
      </c>
      <c r="F22" s="331" t="s">
        <v>103</v>
      </c>
    </row>
    <row r="23" spans="1:6">
      <c r="A23" s="485" t="s">
        <v>79</v>
      </c>
      <c r="B23" s="486">
        <v>3936871</v>
      </c>
      <c r="C23" s="488">
        <v>4000963</v>
      </c>
      <c r="D23" s="486">
        <v>1530851</v>
      </c>
      <c r="E23" s="488">
        <v>3047077</v>
      </c>
      <c r="F23" s="331" t="s">
        <v>103</v>
      </c>
    </row>
    <row r="24" spans="1:6">
      <c r="A24" s="485" t="s">
        <v>80</v>
      </c>
      <c r="B24" s="486">
        <v>605388</v>
      </c>
      <c r="C24" s="488">
        <v>601813</v>
      </c>
      <c r="D24" s="486">
        <v>326881</v>
      </c>
      <c r="E24" s="488">
        <v>471899</v>
      </c>
      <c r="F24" s="331" t="s">
        <v>103</v>
      </c>
    </row>
    <row r="25" spans="1:6">
      <c r="A25" s="485" t="s">
        <v>81</v>
      </c>
      <c r="B25" s="486">
        <v>8312983</v>
      </c>
      <c r="C25" s="488">
        <v>8334449</v>
      </c>
      <c r="D25" s="486">
        <v>4566013</v>
      </c>
      <c r="E25" s="488">
        <v>5191499</v>
      </c>
      <c r="F25" s="331" t="s">
        <v>103</v>
      </c>
    </row>
    <row r="26" spans="1:6">
      <c r="A26" s="485" t="s">
        <v>82</v>
      </c>
      <c r="B26" s="486">
        <v>4631909</v>
      </c>
      <c r="C26" s="488">
        <v>4408114</v>
      </c>
      <c r="D26" s="486">
        <v>341627</v>
      </c>
      <c r="E26" s="488">
        <v>821936</v>
      </c>
      <c r="F26" s="331" t="s">
        <v>103</v>
      </c>
    </row>
    <row r="27" spans="1:6">
      <c r="A27" s="485" t="s">
        <v>83</v>
      </c>
      <c r="B27" s="486">
        <v>2408052</v>
      </c>
      <c r="C27" s="488">
        <v>2357736</v>
      </c>
      <c r="D27" s="486">
        <v>723026</v>
      </c>
      <c r="E27" s="488">
        <v>1220283</v>
      </c>
      <c r="F27" s="331" t="s">
        <v>103</v>
      </c>
    </row>
    <row r="28" spans="1:6">
      <c r="A28" s="485" t="s">
        <v>84</v>
      </c>
      <c r="B28" s="486">
        <v>346930</v>
      </c>
      <c r="C28" s="488">
        <v>409729</v>
      </c>
      <c r="D28" s="486">
        <v>331823</v>
      </c>
      <c r="E28" s="488">
        <v>404081</v>
      </c>
      <c r="F28" s="331" t="s">
        <v>55</v>
      </c>
    </row>
    <row r="29" spans="1:6">
      <c r="A29" s="485" t="s">
        <v>85</v>
      </c>
      <c r="B29" s="486">
        <v>7723202</v>
      </c>
      <c r="C29" s="488">
        <v>8897022</v>
      </c>
      <c r="D29" s="486">
        <v>7694498</v>
      </c>
      <c r="E29" s="488">
        <v>8838099</v>
      </c>
      <c r="F29" s="331" t="s">
        <v>55</v>
      </c>
    </row>
    <row r="30" spans="1:6">
      <c r="A30" s="485" t="s">
        <v>86</v>
      </c>
      <c r="B30" s="486">
        <v>4057334</v>
      </c>
      <c r="C30" s="488">
        <v>4659053</v>
      </c>
      <c r="D30" s="486">
        <v>810754</v>
      </c>
      <c r="E30" s="488">
        <v>3267836</v>
      </c>
      <c r="F30" s="331" t="s">
        <v>56</v>
      </c>
    </row>
    <row r="31" spans="1:6">
      <c r="A31" s="485" t="s">
        <v>87</v>
      </c>
      <c r="B31" s="486">
        <v>328929</v>
      </c>
      <c r="C31" s="488">
        <v>268727</v>
      </c>
      <c r="D31" s="486">
        <v>102199</v>
      </c>
      <c r="E31" s="488">
        <v>125489</v>
      </c>
      <c r="F31" s="331" t="s">
        <v>56</v>
      </c>
    </row>
    <row r="32" spans="1:6">
      <c r="A32" s="485" t="s">
        <v>88</v>
      </c>
      <c r="B32" s="486">
        <v>2071948</v>
      </c>
      <c r="C32" s="488">
        <v>1970807</v>
      </c>
      <c r="D32" s="486">
        <v>1097072</v>
      </c>
      <c r="E32" s="488">
        <v>1134478</v>
      </c>
      <c r="F32" s="331" t="s">
        <v>56</v>
      </c>
    </row>
    <row r="33" spans="1:6">
      <c r="A33" s="485" t="s">
        <v>89</v>
      </c>
      <c r="B33" s="486">
        <v>153487</v>
      </c>
      <c r="C33" s="488">
        <v>68799</v>
      </c>
      <c r="D33" s="486">
        <v>37896</v>
      </c>
      <c r="E33" s="488">
        <v>29480</v>
      </c>
      <c r="F33" s="331" t="s">
        <v>56</v>
      </c>
    </row>
    <row r="34" spans="1:6">
      <c r="A34" s="485" t="s">
        <v>90</v>
      </c>
      <c r="B34" s="486">
        <v>267323</v>
      </c>
      <c r="C34" s="488">
        <v>275059</v>
      </c>
      <c r="D34" s="486">
        <v>149731</v>
      </c>
      <c r="E34" s="488">
        <v>162733</v>
      </c>
      <c r="F34" s="331" t="s">
        <v>57</v>
      </c>
    </row>
    <row r="35" spans="1:6">
      <c r="A35" s="485" t="s">
        <v>91</v>
      </c>
      <c r="B35" s="486">
        <v>2116785</v>
      </c>
      <c r="C35" s="488">
        <v>2120458</v>
      </c>
      <c r="D35" s="486">
        <v>503759</v>
      </c>
      <c r="E35" s="488">
        <v>1360253</v>
      </c>
      <c r="F35" s="331" t="s">
        <v>57</v>
      </c>
    </row>
    <row r="36" spans="1:6">
      <c r="A36" s="485" t="s">
        <v>93</v>
      </c>
      <c r="B36" s="486">
        <v>140002</v>
      </c>
      <c r="C36" s="488">
        <v>134832</v>
      </c>
      <c r="D36" s="486">
        <v>85334</v>
      </c>
      <c r="E36" s="488">
        <v>134223</v>
      </c>
      <c r="F36" s="331" t="s">
        <v>57</v>
      </c>
    </row>
    <row r="37" spans="1:6">
      <c r="A37" s="485" t="s">
        <v>94</v>
      </c>
      <c r="B37" s="486">
        <v>141335</v>
      </c>
      <c r="C37" s="488">
        <v>141357</v>
      </c>
      <c r="D37" s="486">
        <v>108664</v>
      </c>
      <c r="E37" s="488">
        <v>127135</v>
      </c>
      <c r="F37" s="331" t="s">
        <v>58</v>
      </c>
    </row>
    <row r="38" spans="1:6">
      <c r="A38" s="485" t="s">
        <v>95</v>
      </c>
      <c r="B38" s="486">
        <v>36138</v>
      </c>
      <c r="C38" s="488">
        <v>38276</v>
      </c>
      <c r="D38" s="486">
        <v>21664</v>
      </c>
      <c r="E38" s="488">
        <v>24049</v>
      </c>
      <c r="F38" s="331" t="s">
        <v>58</v>
      </c>
    </row>
    <row r="39" spans="1:6">
      <c r="A39" s="485" t="s">
        <v>96</v>
      </c>
      <c r="B39" s="486">
        <f>242538+63081</f>
        <v>305619</v>
      </c>
      <c r="C39" s="488">
        <v>279959</v>
      </c>
      <c r="D39" s="486">
        <v>140054</v>
      </c>
      <c r="E39" s="488">
        <v>172720</v>
      </c>
      <c r="F39" s="331" t="s">
        <v>58</v>
      </c>
    </row>
    <row r="40" spans="1:6">
      <c r="A40" s="485" t="s">
        <v>97</v>
      </c>
      <c r="B40" s="486">
        <v>12451</v>
      </c>
      <c r="C40" s="488">
        <v>13455</v>
      </c>
      <c r="D40" s="486">
        <v>11150</v>
      </c>
      <c r="E40" s="488">
        <v>11840</v>
      </c>
      <c r="F40" s="331" t="s">
        <v>58</v>
      </c>
    </row>
    <row r="41" spans="1:6">
      <c r="A41" s="485" t="s">
        <v>98</v>
      </c>
      <c r="B41" s="486">
        <v>106368</v>
      </c>
      <c r="C41" s="487">
        <v>104997</v>
      </c>
      <c r="D41" s="486">
        <v>42699</v>
      </c>
      <c r="E41" s="487">
        <v>49444</v>
      </c>
      <c r="F41" s="331" t="s">
        <v>58</v>
      </c>
    </row>
    <row r="42" spans="1:6">
      <c r="A42" s="492" t="s">
        <v>99</v>
      </c>
      <c r="B42" s="486">
        <v>227240</v>
      </c>
      <c r="C42" s="488">
        <v>241234</v>
      </c>
      <c r="D42" s="486">
        <v>141153</v>
      </c>
      <c r="E42" s="493">
        <v>169413</v>
      </c>
      <c r="F42" s="331" t="s">
        <v>58</v>
      </c>
    </row>
    <row r="43" spans="1:6">
      <c r="A43" s="485" t="s">
        <v>191</v>
      </c>
      <c r="B43" s="486">
        <f>SUM(B3:B42)</f>
        <v>64655015</v>
      </c>
      <c r="C43" s="494">
        <f>SUM(C3:C42)</f>
        <v>64818519</v>
      </c>
      <c r="D43" s="486">
        <f>SUM(D3:D42)</f>
        <v>30117016</v>
      </c>
      <c r="E43" s="495">
        <f>SUM(E3:E42)</f>
        <v>39573993</v>
      </c>
    </row>
    <row r="44" spans="1:6">
      <c r="B44" s="293"/>
      <c r="C44" s="294"/>
    </row>
  </sheetData>
  <pageMargins left="0.25" right="0.25" top="0.75" bottom="0.75" header="0.3" footer="0.3"/>
  <pageSetup scale="93"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21B0C-1005-480C-B285-DD7A6105C5E3}">
  <sheetPr>
    <pageSetUpPr fitToPage="1"/>
  </sheetPr>
  <dimension ref="A1:G44"/>
  <sheetViews>
    <sheetView zoomScaleNormal="100" workbookViewId="0"/>
  </sheetViews>
  <sheetFormatPr defaultColWidth="9.28515625" defaultRowHeight="14.25"/>
  <cols>
    <col min="1" max="1" width="46.7109375" style="296" bestFit="1" customWidth="1"/>
    <col min="2" max="2" width="15.7109375" style="320" hidden="1" customWidth="1"/>
    <col min="3" max="5" width="15.7109375" style="320" customWidth="1"/>
    <col min="6" max="6" width="15.28515625" style="296" customWidth="1"/>
    <col min="7" max="7" width="15.7109375" style="296" customWidth="1"/>
    <col min="8" max="16384" width="9.28515625" style="296"/>
  </cols>
  <sheetData>
    <row r="1" spans="1:7">
      <c r="B1" s="326">
        <v>2014</v>
      </c>
      <c r="C1" s="265">
        <v>2018</v>
      </c>
      <c r="D1" s="265">
        <v>2019</v>
      </c>
      <c r="E1" s="265">
        <v>2021</v>
      </c>
      <c r="F1" s="265">
        <v>2022</v>
      </c>
    </row>
    <row r="2" spans="1:7">
      <c r="A2" s="496" t="s">
        <v>190</v>
      </c>
      <c r="B2" s="497" t="s">
        <v>16</v>
      </c>
      <c r="C2" s="498" t="s">
        <v>16</v>
      </c>
      <c r="D2" s="498" t="s">
        <v>16</v>
      </c>
      <c r="E2" s="498" t="s">
        <v>16</v>
      </c>
      <c r="F2" s="498" t="s">
        <v>16</v>
      </c>
      <c r="G2" s="499"/>
    </row>
    <row r="3" spans="1:7">
      <c r="A3" s="327" t="s">
        <v>60</v>
      </c>
      <c r="B3" s="294">
        <v>41574</v>
      </c>
      <c r="C3" s="500">
        <v>35345</v>
      </c>
      <c r="D3" s="501">
        <v>33965</v>
      </c>
      <c r="E3" s="502">
        <v>29170</v>
      </c>
      <c r="F3" s="503">
        <v>30762</v>
      </c>
      <c r="G3" s="331" t="s">
        <v>49</v>
      </c>
    </row>
    <row r="4" spans="1:7">
      <c r="A4" s="327" t="s">
        <v>61</v>
      </c>
      <c r="B4" s="294">
        <v>10753</v>
      </c>
      <c r="C4" s="500">
        <v>7370</v>
      </c>
      <c r="D4" s="504">
        <v>7537</v>
      </c>
      <c r="E4" s="505">
        <v>3885</v>
      </c>
      <c r="F4" s="504">
        <v>7303</v>
      </c>
      <c r="G4" s="331" t="s">
        <v>49</v>
      </c>
    </row>
    <row r="5" spans="1:7">
      <c r="A5" s="327" t="s">
        <v>62</v>
      </c>
      <c r="B5" s="294">
        <v>43651</v>
      </c>
      <c r="C5" s="500">
        <v>47978</v>
      </c>
      <c r="D5" s="501">
        <v>46719</v>
      </c>
      <c r="E5" s="506">
        <v>39533</v>
      </c>
      <c r="F5" s="501">
        <v>44776</v>
      </c>
      <c r="G5" s="331" t="s">
        <v>49</v>
      </c>
    </row>
    <row r="6" spans="1:7">
      <c r="A6" s="327" t="s">
        <v>63</v>
      </c>
      <c r="B6" s="294">
        <v>53634</v>
      </c>
      <c r="C6" s="500">
        <v>55079</v>
      </c>
      <c r="D6" s="501">
        <v>52693</v>
      </c>
      <c r="E6" s="506">
        <v>35279</v>
      </c>
      <c r="F6" s="501">
        <v>40013</v>
      </c>
      <c r="G6" s="331" t="s">
        <v>49</v>
      </c>
    </row>
    <row r="7" spans="1:7">
      <c r="A7" s="327" t="s">
        <v>64</v>
      </c>
      <c r="B7" s="294">
        <v>8021</v>
      </c>
      <c r="C7" s="500">
        <v>7814</v>
      </c>
      <c r="D7" s="501">
        <v>8115</v>
      </c>
      <c r="E7" s="506">
        <v>8307</v>
      </c>
      <c r="F7" s="501">
        <v>7979</v>
      </c>
      <c r="G7" s="331" t="s">
        <v>49</v>
      </c>
    </row>
    <row r="8" spans="1:7">
      <c r="A8" s="327" t="s">
        <v>65</v>
      </c>
      <c r="B8" s="294">
        <v>95286</v>
      </c>
      <c r="C8" s="500">
        <v>103824</v>
      </c>
      <c r="D8" s="504">
        <v>108033</v>
      </c>
      <c r="E8" s="506">
        <v>74987</v>
      </c>
      <c r="F8" s="501">
        <v>58751</v>
      </c>
      <c r="G8" s="331" t="s">
        <v>50</v>
      </c>
    </row>
    <row r="9" spans="1:7">
      <c r="A9" s="507"/>
      <c r="B9" s="508">
        <v>16419</v>
      </c>
      <c r="C9" s="509" t="s">
        <v>212</v>
      </c>
      <c r="D9" s="510" t="s">
        <v>212</v>
      </c>
      <c r="E9" s="511" t="s">
        <v>212</v>
      </c>
      <c r="F9" s="511" t="s">
        <v>212</v>
      </c>
      <c r="G9" s="476"/>
    </row>
    <row r="10" spans="1:7">
      <c r="A10" s="327" t="s">
        <v>66</v>
      </c>
      <c r="B10" s="294">
        <v>51554</v>
      </c>
      <c r="C10" s="500">
        <v>51340</v>
      </c>
      <c r="D10" s="504">
        <v>53032</v>
      </c>
      <c r="E10" s="506">
        <v>40798</v>
      </c>
      <c r="F10" s="501">
        <v>40268</v>
      </c>
      <c r="G10" s="331" t="s">
        <v>51</v>
      </c>
    </row>
    <row r="11" spans="1:7">
      <c r="A11" s="327" t="s">
        <v>67</v>
      </c>
      <c r="B11" s="294">
        <v>9642</v>
      </c>
      <c r="C11" s="500">
        <v>14618</v>
      </c>
      <c r="D11" s="504">
        <v>19458</v>
      </c>
      <c r="E11" s="505">
        <v>20267</v>
      </c>
      <c r="F11" s="504">
        <v>21618</v>
      </c>
      <c r="G11" s="331" t="s">
        <v>104</v>
      </c>
    </row>
    <row r="12" spans="1:7">
      <c r="A12" s="327" t="s">
        <v>68</v>
      </c>
      <c r="B12" s="294"/>
      <c r="C12" s="500">
        <v>2658</v>
      </c>
      <c r="D12" s="504">
        <v>3048</v>
      </c>
      <c r="E12" s="506">
        <v>3060</v>
      </c>
      <c r="F12" s="501">
        <v>3090</v>
      </c>
      <c r="G12" s="331" t="s">
        <v>104</v>
      </c>
    </row>
    <row r="13" spans="1:7">
      <c r="A13" s="327" t="s">
        <v>69</v>
      </c>
      <c r="B13" s="294">
        <v>1031196</v>
      </c>
      <c r="C13" s="500">
        <v>1087302</v>
      </c>
      <c r="D13" s="504">
        <v>1083033</v>
      </c>
      <c r="E13" s="506">
        <v>971392</v>
      </c>
      <c r="F13" s="501">
        <v>886831</v>
      </c>
      <c r="G13" s="331" t="s">
        <v>104</v>
      </c>
    </row>
    <row r="14" spans="1:7">
      <c r="A14" s="327" t="s">
        <v>70</v>
      </c>
      <c r="B14" s="294">
        <v>13662</v>
      </c>
      <c r="C14" s="500">
        <v>16359</v>
      </c>
      <c r="D14" s="504">
        <v>17422</v>
      </c>
      <c r="E14" s="506">
        <v>20410</v>
      </c>
      <c r="F14" s="501">
        <v>20345</v>
      </c>
      <c r="G14" s="331" t="s">
        <v>104</v>
      </c>
    </row>
    <row r="15" spans="1:7">
      <c r="A15" s="327" t="s">
        <v>71</v>
      </c>
      <c r="B15" s="512">
        <v>1306</v>
      </c>
      <c r="C15" s="500">
        <v>1350</v>
      </c>
      <c r="D15" s="504">
        <v>1383</v>
      </c>
      <c r="E15" s="506">
        <v>1342</v>
      </c>
      <c r="F15" s="501">
        <v>880</v>
      </c>
      <c r="G15" s="331" t="s">
        <v>104</v>
      </c>
    </row>
    <row r="16" spans="1:7">
      <c r="A16" s="327" t="s">
        <v>72</v>
      </c>
      <c r="B16" s="294">
        <v>87662</v>
      </c>
      <c r="C16" s="500">
        <v>94173</v>
      </c>
      <c r="D16" s="504">
        <v>94477</v>
      </c>
      <c r="E16" s="506">
        <v>78393</v>
      </c>
      <c r="F16" s="501">
        <v>79332</v>
      </c>
      <c r="G16" s="331" t="s">
        <v>104</v>
      </c>
    </row>
    <row r="17" spans="1:7">
      <c r="A17" s="327" t="s">
        <v>73</v>
      </c>
      <c r="B17" s="294">
        <v>29095</v>
      </c>
      <c r="C17" s="500">
        <v>36176</v>
      </c>
      <c r="D17" s="504">
        <v>35978</v>
      </c>
      <c r="E17" s="506">
        <v>38330</v>
      </c>
      <c r="F17" s="501">
        <v>35273</v>
      </c>
      <c r="G17" s="331" t="s">
        <v>53</v>
      </c>
    </row>
    <row r="18" spans="1:7">
      <c r="A18" s="327" t="s">
        <v>74</v>
      </c>
      <c r="B18" s="294">
        <v>13012</v>
      </c>
      <c r="C18" s="500">
        <v>14537</v>
      </c>
      <c r="D18" s="504">
        <v>14194</v>
      </c>
      <c r="E18" s="506">
        <v>13590</v>
      </c>
      <c r="F18" s="501">
        <v>11837</v>
      </c>
      <c r="G18" s="331" t="s">
        <v>53</v>
      </c>
    </row>
    <row r="19" spans="1:7">
      <c r="A19" s="327" t="s">
        <v>75</v>
      </c>
      <c r="B19" s="294">
        <v>98573</v>
      </c>
      <c r="C19" s="500">
        <v>105441</v>
      </c>
      <c r="D19" s="504">
        <v>94891</v>
      </c>
      <c r="E19" s="506">
        <v>75366</v>
      </c>
      <c r="F19" s="501">
        <v>74332</v>
      </c>
      <c r="G19" s="331" t="s">
        <v>53</v>
      </c>
    </row>
    <row r="20" spans="1:7">
      <c r="A20" s="327" t="s">
        <v>76</v>
      </c>
      <c r="B20" s="294">
        <v>2870</v>
      </c>
      <c r="C20" s="500">
        <v>3021</v>
      </c>
      <c r="D20" s="501">
        <v>3012</v>
      </c>
      <c r="E20" s="506">
        <v>3011</v>
      </c>
      <c r="F20" s="501">
        <v>3043</v>
      </c>
      <c r="G20" s="331" t="s">
        <v>53</v>
      </c>
    </row>
    <row r="21" spans="1:7">
      <c r="A21" s="327" t="s">
        <v>77</v>
      </c>
      <c r="B21" s="294">
        <v>93640</v>
      </c>
      <c r="C21" s="500">
        <v>184352.04262017561</v>
      </c>
      <c r="D21" s="504">
        <v>177974.36666666667</v>
      </c>
      <c r="E21" s="506">
        <f>88248+8353</f>
        <v>96601</v>
      </c>
      <c r="F21" s="501">
        <f>88663+10112</f>
        <v>98775</v>
      </c>
      <c r="G21" s="331" t="s">
        <v>103</v>
      </c>
    </row>
    <row r="22" spans="1:7">
      <c r="A22" s="327" t="s">
        <v>78</v>
      </c>
      <c r="B22" s="294">
        <v>147756</v>
      </c>
      <c r="C22" s="500">
        <v>222425</v>
      </c>
      <c r="D22" s="504">
        <v>226129</v>
      </c>
      <c r="E22" s="506">
        <v>182007</v>
      </c>
      <c r="F22" s="501">
        <v>204460</v>
      </c>
      <c r="G22" s="331" t="s">
        <v>103</v>
      </c>
    </row>
    <row r="23" spans="1:7">
      <c r="A23" s="327" t="s">
        <v>79</v>
      </c>
      <c r="B23" s="294">
        <v>182050</v>
      </c>
      <c r="C23" s="500">
        <v>240987</v>
      </c>
      <c r="D23" s="504">
        <v>251750</v>
      </c>
      <c r="E23" s="506">
        <v>211975</v>
      </c>
      <c r="F23" s="501">
        <v>276476</v>
      </c>
      <c r="G23" s="331" t="s">
        <v>103</v>
      </c>
    </row>
    <row r="24" spans="1:7">
      <c r="A24" s="327" t="s">
        <v>80</v>
      </c>
      <c r="B24" s="294">
        <v>33887</v>
      </c>
      <c r="C24" s="500">
        <v>33576</v>
      </c>
      <c r="D24" s="504">
        <v>34273</v>
      </c>
      <c r="E24" s="506">
        <v>34280</v>
      </c>
      <c r="F24" s="501">
        <v>35046</v>
      </c>
      <c r="G24" s="331" t="s">
        <v>103</v>
      </c>
    </row>
    <row r="25" spans="1:7">
      <c r="A25" s="327" t="s">
        <v>81</v>
      </c>
      <c r="B25" s="294">
        <v>639987</v>
      </c>
      <c r="C25" s="500">
        <v>751540</v>
      </c>
      <c r="D25" s="504">
        <v>762124</v>
      </c>
      <c r="E25" s="506">
        <f>775301+2087</f>
        <v>777388</v>
      </c>
      <c r="F25" s="501">
        <f>840428+2521</f>
        <v>842949</v>
      </c>
      <c r="G25" s="331" t="s">
        <v>103</v>
      </c>
    </row>
    <row r="26" spans="1:7">
      <c r="A26" s="327" t="s">
        <v>82</v>
      </c>
      <c r="B26" s="294">
        <v>66704</v>
      </c>
      <c r="C26" s="500">
        <v>78377</v>
      </c>
      <c r="D26" s="504">
        <v>79652</v>
      </c>
      <c r="E26" s="506">
        <v>49907</v>
      </c>
      <c r="F26" s="501">
        <v>71732</v>
      </c>
      <c r="G26" s="331" t="s">
        <v>103</v>
      </c>
    </row>
    <row r="27" spans="1:7">
      <c r="A27" s="327" t="s">
        <v>83</v>
      </c>
      <c r="B27" s="294">
        <v>168174</v>
      </c>
      <c r="C27" s="500">
        <v>232792.49672335802</v>
      </c>
      <c r="D27" s="504">
        <v>222022.66000065801</v>
      </c>
      <c r="E27" s="506">
        <f>152489+(152489*0.49)</f>
        <v>227208.61</v>
      </c>
      <c r="F27" s="501">
        <f>146130+71220</f>
        <v>217350</v>
      </c>
      <c r="G27" s="331" t="s">
        <v>103</v>
      </c>
    </row>
    <row r="28" spans="1:7">
      <c r="A28" s="327" t="s">
        <v>84</v>
      </c>
      <c r="B28" s="294">
        <v>46359</v>
      </c>
      <c r="C28" s="500">
        <v>59574</v>
      </c>
      <c r="D28" s="504">
        <v>56662</v>
      </c>
      <c r="E28" s="506">
        <v>46966</v>
      </c>
      <c r="F28" s="501">
        <v>47286</v>
      </c>
      <c r="G28" s="331" t="s">
        <v>55</v>
      </c>
    </row>
    <row r="29" spans="1:7">
      <c r="A29" s="327" t="s">
        <v>85</v>
      </c>
      <c r="B29" s="294">
        <v>532001</v>
      </c>
      <c r="C29" s="500">
        <v>549136</v>
      </c>
      <c r="D29" s="504">
        <v>589799</v>
      </c>
      <c r="E29" s="506">
        <v>606539</v>
      </c>
      <c r="F29" s="501">
        <v>589217</v>
      </c>
      <c r="G29" s="331" t="s">
        <v>55</v>
      </c>
    </row>
    <row r="30" spans="1:7">
      <c r="A30" s="327" t="s">
        <v>86</v>
      </c>
      <c r="B30" s="294">
        <v>95349</v>
      </c>
      <c r="C30" s="500">
        <v>105575</v>
      </c>
      <c r="D30" s="504">
        <v>113580</v>
      </c>
      <c r="E30" s="506">
        <v>104803</v>
      </c>
      <c r="F30" s="501">
        <v>100136</v>
      </c>
      <c r="G30" s="331" t="s">
        <v>56</v>
      </c>
    </row>
    <row r="31" spans="1:7">
      <c r="A31" s="327" t="s">
        <v>87</v>
      </c>
      <c r="B31" s="294">
        <v>29884</v>
      </c>
      <c r="C31" s="500">
        <v>31419</v>
      </c>
      <c r="D31" s="504">
        <v>31292</v>
      </c>
      <c r="E31" s="506">
        <v>30471</v>
      </c>
      <c r="F31" s="501">
        <v>31063</v>
      </c>
      <c r="G31" s="331" t="s">
        <v>56</v>
      </c>
    </row>
    <row r="32" spans="1:7">
      <c r="A32" s="327" t="s">
        <v>88</v>
      </c>
      <c r="B32" s="294">
        <v>146554</v>
      </c>
      <c r="C32" s="500">
        <v>153595</v>
      </c>
      <c r="D32" s="504">
        <v>150889</v>
      </c>
      <c r="E32" s="506">
        <v>145560</v>
      </c>
      <c r="F32" s="501">
        <v>155800</v>
      </c>
      <c r="G32" s="331" t="s">
        <v>56</v>
      </c>
    </row>
    <row r="33" spans="1:7">
      <c r="A33" s="327" t="s">
        <v>89</v>
      </c>
      <c r="B33" s="294">
        <v>14331</v>
      </c>
      <c r="C33" s="500">
        <v>19917</v>
      </c>
      <c r="D33" s="504">
        <v>19830</v>
      </c>
      <c r="E33" s="506">
        <v>18342</v>
      </c>
      <c r="F33" s="501">
        <v>19090</v>
      </c>
      <c r="G33" s="331" t="s">
        <v>56</v>
      </c>
    </row>
    <row r="34" spans="1:7">
      <c r="A34" s="327" t="s">
        <v>90</v>
      </c>
      <c r="B34" s="294">
        <v>22195.715847137169</v>
      </c>
      <c r="C34" s="500">
        <v>30716</v>
      </c>
      <c r="D34" s="504">
        <v>30658</v>
      </c>
      <c r="E34" s="506">
        <v>33407</v>
      </c>
      <c r="F34" s="501">
        <v>36937</v>
      </c>
      <c r="G34" s="331" t="s">
        <v>57</v>
      </c>
    </row>
    <row r="35" spans="1:7">
      <c r="A35" s="327" t="s">
        <v>91</v>
      </c>
      <c r="B35" s="294">
        <v>68498</v>
      </c>
      <c r="C35" s="500">
        <v>77394</v>
      </c>
      <c r="D35" s="504">
        <v>75663</v>
      </c>
      <c r="E35" s="506">
        <v>77225</v>
      </c>
      <c r="F35" s="501">
        <v>74536</v>
      </c>
      <c r="G35" s="331" t="s">
        <v>57</v>
      </c>
    </row>
    <row r="36" spans="1:7">
      <c r="A36" s="327" t="s">
        <v>93</v>
      </c>
      <c r="B36" s="294">
        <v>18797</v>
      </c>
      <c r="C36" s="500">
        <v>18109</v>
      </c>
      <c r="D36" s="504">
        <v>17721</v>
      </c>
      <c r="E36" s="506">
        <v>16508</v>
      </c>
      <c r="F36" s="501">
        <v>17310</v>
      </c>
      <c r="G36" s="331" t="s">
        <v>57</v>
      </c>
    </row>
    <row r="37" spans="1:7">
      <c r="A37" s="327" t="s">
        <v>94</v>
      </c>
      <c r="B37" s="294">
        <v>55130</v>
      </c>
      <c r="C37" s="500">
        <v>61906</v>
      </c>
      <c r="D37" s="504">
        <v>60477</v>
      </c>
      <c r="E37" s="506">
        <v>55888</v>
      </c>
      <c r="F37" s="501">
        <v>60586</v>
      </c>
      <c r="G37" s="331" t="s">
        <v>58</v>
      </c>
    </row>
    <row r="38" spans="1:7">
      <c r="A38" s="327" t="s">
        <v>95</v>
      </c>
      <c r="B38" s="294">
        <v>13554</v>
      </c>
      <c r="C38" s="500">
        <v>14480</v>
      </c>
      <c r="D38" s="504">
        <v>14634</v>
      </c>
      <c r="E38" s="506">
        <v>15493</v>
      </c>
      <c r="F38" s="501">
        <v>15570</v>
      </c>
      <c r="G38" s="331" t="s">
        <v>58</v>
      </c>
    </row>
    <row r="39" spans="1:7">
      <c r="A39" s="327" t="s">
        <v>96</v>
      </c>
      <c r="B39" s="294">
        <v>111543</v>
      </c>
      <c r="C39" s="500">
        <f>85534+21594</f>
        <v>107128</v>
      </c>
      <c r="D39" s="504">
        <v>96645</v>
      </c>
      <c r="E39" s="506">
        <v>63817</v>
      </c>
      <c r="F39" s="501">
        <v>75094</v>
      </c>
      <c r="G39" s="331" t="s">
        <v>58</v>
      </c>
    </row>
    <row r="40" spans="1:7">
      <c r="A40" s="327" t="s">
        <v>97</v>
      </c>
      <c r="B40" s="294">
        <v>4182</v>
      </c>
      <c r="C40" s="500">
        <v>5166</v>
      </c>
      <c r="D40" s="504">
        <v>5127</v>
      </c>
      <c r="E40" s="506">
        <v>5393</v>
      </c>
      <c r="F40" s="501">
        <v>5390</v>
      </c>
      <c r="G40" s="331" t="s">
        <v>58</v>
      </c>
    </row>
    <row r="41" spans="1:7">
      <c r="A41" s="327" t="s">
        <v>98</v>
      </c>
      <c r="B41" s="294">
        <v>44740</v>
      </c>
      <c r="C41" s="500">
        <v>49400</v>
      </c>
      <c r="D41" s="501">
        <v>45615</v>
      </c>
      <c r="E41" s="506">
        <v>22816</v>
      </c>
      <c r="F41" s="501">
        <v>18141</v>
      </c>
      <c r="G41" s="331" t="s">
        <v>58</v>
      </c>
    </row>
    <row r="42" spans="1:7">
      <c r="A42" s="337" t="s">
        <v>99</v>
      </c>
      <c r="B42" s="513">
        <v>33973</v>
      </c>
      <c r="C42" s="500">
        <v>48062</v>
      </c>
      <c r="D42" s="504">
        <v>52366</v>
      </c>
      <c r="E42" s="506">
        <v>54180</v>
      </c>
      <c r="F42" s="514">
        <v>60519</v>
      </c>
      <c r="G42" s="331" t="s">
        <v>58</v>
      </c>
    </row>
    <row r="43" spans="1:7">
      <c r="A43" s="327" t="s">
        <v>191</v>
      </c>
      <c r="B43" s="515">
        <v>4187861</v>
      </c>
      <c r="C43" s="516">
        <f>SUM(C3:C42)</f>
        <v>4760011.539343534</v>
      </c>
      <c r="D43" s="516">
        <f>SUM(D3:D42)</f>
        <v>4791873.0266673248</v>
      </c>
      <c r="E43" s="516">
        <f>SUM(E3:E42)</f>
        <v>4333894.6099999994</v>
      </c>
      <c r="F43" s="516">
        <f>SUM(F3:F42)</f>
        <v>4419896</v>
      </c>
      <c r="G43" s="264"/>
    </row>
    <row r="44" spans="1:7">
      <c r="C44" s="319"/>
      <c r="D44" s="294"/>
    </row>
  </sheetData>
  <pageMargins left="0.25" right="0.25" top="0.75" bottom="0.75" header="0.3" footer="0.3"/>
  <pageSetup scale="93"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C3FF5-CD6C-4B05-97CE-1DBB091C3A42}">
  <sheetPr>
    <pageSetUpPr fitToPage="1"/>
  </sheetPr>
  <dimension ref="A1:G44"/>
  <sheetViews>
    <sheetView zoomScaleNormal="100" workbookViewId="0"/>
  </sheetViews>
  <sheetFormatPr defaultColWidth="9.28515625" defaultRowHeight="14.25"/>
  <cols>
    <col min="1" max="1" width="46.7109375" style="296" bestFit="1" customWidth="1"/>
    <col min="2" max="2" width="15.7109375" style="320" hidden="1" customWidth="1"/>
    <col min="3" max="5" width="15.7109375" style="320" customWidth="1"/>
    <col min="6" max="6" width="14.5703125" style="296" customWidth="1"/>
    <col min="7" max="7" width="16.28515625" style="296" customWidth="1"/>
    <col min="8" max="16384" width="9.28515625" style="296"/>
  </cols>
  <sheetData>
    <row r="1" spans="1:7">
      <c r="B1" s="326">
        <v>2014</v>
      </c>
      <c r="C1" s="265">
        <v>2018</v>
      </c>
      <c r="D1" s="265">
        <v>2019</v>
      </c>
      <c r="E1" s="265">
        <v>2021</v>
      </c>
      <c r="F1" s="265">
        <v>2022</v>
      </c>
    </row>
    <row r="2" spans="1:7">
      <c r="A2" s="517" t="s">
        <v>190</v>
      </c>
      <c r="B2" s="518" t="s">
        <v>17</v>
      </c>
      <c r="C2" s="519" t="s">
        <v>17</v>
      </c>
      <c r="D2" s="519" t="s">
        <v>17</v>
      </c>
      <c r="E2" s="519" t="s">
        <v>17</v>
      </c>
      <c r="F2" s="519" t="s">
        <v>17</v>
      </c>
      <c r="G2" s="520"/>
    </row>
    <row r="3" spans="1:7" s="264" customFormat="1">
      <c r="A3" s="485" t="s">
        <v>60</v>
      </c>
      <c r="B3" s="294">
        <v>885671</v>
      </c>
      <c r="C3" s="500">
        <v>755637</v>
      </c>
      <c r="D3" s="501">
        <v>720867</v>
      </c>
      <c r="E3" s="502">
        <v>598768</v>
      </c>
      <c r="F3" s="503">
        <v>634178</v>
      </c>
      <c r="G3" s="331" t="s">
        <v>49</v>
      </c>
    </row>
    <row r="4" spans="1:7" s="264" customFormat="1">
      <c r="A4" s="485" t="s">
        <v>61</v>
      </c>
      <c r="B4" s="294">
        <v>102414</v>
      </c>
      <c r="C4" s="500">
        <v>89608</v>
      </c>
      <c r="D4" s="504">
        <v>87134</v>
      </c>
      <c r="E4" s="505">
        <v>46763</v>
      </c>
      <c r="F4" s="504">
        <v>84107</v>
      </c>
      <c r="G4" s="331" t="s">
        <v>49</v>
      </c>
    </row>
    <row r="5" spans="1:7" s="264" customFormat="1">
      <c r="A5" s="485" t="s">
        <v>62</v>
      </c>
      <c r="B5" s="294">
        <v>579189</v>
      </c>
      <c r="C5" s="500">
        <v>494719</v>
      </c>
      <c r="D5" s="501">
        <v>489940</v>
      </c>
      <c r="E5" s="506">
        <v>384307</v>
      </c>
      <c r="F5" s="501">
        <v>440288</v>
      </c>
      <c r="G5" s="331" t="s">
        <v>49</v>
      </c>
    </row>
    <row r="6" spans="1:7" s="264" customFormat="1">
      <c r="A6" s="485" t="s">
        <v>63</v>
      </c>
      <c r="B6" s="294">
        <v>925155</v>
      </c>
      <c r="C6" s="500">
        <v>913134</v>
      </c>
      <c r="D6" s="501">
        <v>864470</v>
      </c>
      <c r="E6" s="506">
        <v>550975</v>
      </c>
      <c r="F6" s="501">
        <v>639628</v>
      </c>
      <c r="G6" s="331" t="s">
        <v>49</v>
      </c>
    </row>
    <row r="7" spans="1:7" s="264" customFormat="1">
      <c r="A7" s="485" t="s">
        <v>64</v>
      </c>
      <c r="B7" s="294">
        <v>120754</v>
      </c>
      <c r="C7" s="500">
        <v>129996</v>
      </c>
      <c r="D7" s="501">
        <v>133672</v>
      </c>
      <c r="E7" s="506">
        <v>129731</v>
      </c>
      <c r="F7" s="501">
        <v>129480</v>
      </c>
      <c r="G7" s="331" t="s">
        <v>49</v>
      </c>
    </row>
    <row r="8" spans="1:7" s="264" customFormat="1">
      <c r="A8" s="485" t="s">
        <v>65</v>
      </c>
      <c r="B8" s="294">
        <v>1044224</v>
      </c>
      <c r="C8" s="500">
        <v>962806</v>
      </c>
      <c r="D8" s="504">
        <v>976417</v>
      </c>
      <c r="E8" s="506">
        <v>730500</v>
      </c>
      <c r="F8" s="501">
        <v>807792</v>
      </c>
      <c r="G8" s="331" t="s">
        <v>50</v>
      </c>
    </row>
    <row r="9" spans="1:7" s="264" customFormat="1">
      <c r="A9" s="489"/>
      <c r="B9" s="508">
        <v>323527</v>
      </c>
      <c r="C9" s="509" t="s">
        <v>212</v>
      </c>
      <c r="D9" s="510" t="s">
        <v>212</v>
      </c>
      <c r="E9" s="511" t="s">
        <v>212</v>
      </c>
      <c r="F9" s="511" t="s">
        <v>212</v>
      </c>
      <c r="G9" s="476"/>
    </row>
    <row r="10" spans="1:7" s="264" customFormat="1">
      <c r="A10" s="485" t="s">
        <v>66</v>
      </c>
      <c r="B10" s="294">
        <v>765936</v>
      </c>
      <c r="C10" s="500">
        <v>824087</v>
      </c>
      <c r="D10" s="504">
        <v>865514</v>
      </c>
      <c r="E10" s="506">
        <v>610784</v>
      </c>
      <c r="F10" s="501">
        <v>598250</v>
      </c>
      <c r="G10" s="331" t="s">
        <v>51</v>
      </c>
    </row>
    <row r="11" spans="1:7" s="264" customFormat="1">
      <c r="A11" s="485" t="s">
        <v>67</v>
      </c>
      <c r="B11" s="294">
        <v>140592</v>
      </c>
      <c r="C11" s="500">
        <v>258518</v>
      </c>
      <c r="D11" s="504">
        <v>363878</v>
      </c>
      <c r="E11" s="505">
        <v>368836</v>
      </c>
      <c r="F11" s="504">
        <v>415022</v>
      </c>
      <c r="G11" s="331" t="s">
        <v>104</v>
      </c>
    </row>
    <row r="12" spans="1:7" s="264" customFormat="1">
      <c r="A12" s="485" t="s">
        <v>68</v>
      </c>
      <c r="B12" s="294"/>
      <c r="C12" s="500">
        <v>37909</v>
      </c>
      <c r="D12" s="504">
        <v>53147</v>
      </c>
      <c r="E12" s="506">
        <v>48608</v>
      </c>
      <c r="F12" s="501">
        <v>52366</v>
      </c>
      <c r="G12" s="331" t="s">
        <v>104</v>
      </c>
    </row>
    <row r="13" spans="1:7" s="264" customFormat="1">
      <c r="A13" s="485" t="s">
        <v>69</v>
      </c>
      <c r="B13" s="294">
        <v>13320559</v>
      </c>
      <c r="C13" s="500">
        <v>14456652</v>
      </c>
      <c r="D13" s="504">
        <v>14602903</v>
      </c>
      <c r="E13" s="506">
        <v>13836191</v>
      </c>
      <c r="F13" s="501">
        <v>12904187</v>
      </c>
      <c r="G13" s="331" t="s">
        <v>104</v>
      </c>
    </row>
    <row r="14" spans="1:7" s="264" customFormat="1">
      <c r="A14" s="485" t="s">
        <v>70</v>
      </c>
      <c r="B14" s="294">
        <v>354293</v>
      </c>
      <c r="C14" s="500">
        <v>410162</v>
      </c>
      <c r="D14" s="504">
        <v>408373</v>
      </c>
      <c r="E14" s="506">
        <v>463549</v>
      </c>
      <c r="F14" s="501">
        <v>483018</v>
      </c>
      <c r="G14" s="331" t="s">
        <v>104</v>
      </c>
    </row>
    <row r="15" spans="1:7" s="264" customFormat="1">
      <c r="A15" s="485" t="s">
        <v>71</v>
      </c>
      <c r="B15" s="512">
        <v>17614</v>
      </c>
      <c r="C15" s="500">
        <v>14689</v>
      </c>
      <c r="D15" s="504">
        <v>17408</v>
      </c>
      <c r="E15" s="506">
        <v>9510</v>
      </c>
      <c r="F15" s="501">
        <v>6777</v>
      </c>
      <c r="G15" s="331" t="s">
        <v>104</v>
      </c>
    </row>
    <row r="16" spans="1:7" s="264" customFormat="1">
      <c r="A16" s="485" t="s">
        <v>72</v>
      </c>
      <c r="B16" s="512">
        <v>1278139</v>
      </c>
      <c r="C16" s="500">
        <v>1354955</v>
      </c>
      <c r="D16" s="504">
        <v>1352302</v>
      </c>
      <c r="E16" s="506">
        <v>1072707</v>
      </c>
      <c r="F16" s="501">
        <v>1099092</v>
      </c>
      <c r="G16" s="331" t="s">
        <v>104</v>
      </c>
    </row>
    <row r="17" spans="1:7" s="264" customFormat="1">
      <c r="A17" s="485" t="s">
        <v>73</v>
      </c>
      <c r="B17" s="294">
        <v>475685</v>
      </c>
      <c r="C17" s="500">
        <v>562324</v>
      </c>
      <c r="D17" s="504">
        <v>539625</v>
      </c>
      <c r="E17" s="506">
        <v>561833</v>
      </c>
      <c r="F17" s="501">
        <v>531990</v>
      </c>
      <c r="G17" s="331" t="s">
        <v>53</v>
      </c>
    </row>
    <row r="18" spans="1:7" s="264" customFormat="1">
      <c r="A18" s="485" t="s">
        <v>74</v>
      </c>
      <c r="B18" s="294">
        <v>208275</v>
      </c>
      <c r="C18" s="500">
        <v>219837</v>
      </c>
      <c r="D18" s="504">
        <v>216820</v>
      </c>
      <c r="E18" s="506">
        <v>188179</v>
      </c>
      <c r="F18" s="501">
        <v>174059</v>
      </c>
      <c r="G18" s="331" t="s">
        <v>53</v>
      </c>
    </row>
    <row r="19" spans="1:7" s="264" customFormat="1">
      <c r="A19" s="485" t="s">
        <v>75</v>
      </c>
      <c r="B19" s="294">
        <v>1127346</v>
      </c>
      <c r="C19" s="500">
        <v>1261330</v>
      </c>
      <c r="D19" s="504">
        <v>1251351</v>
      </c>
      <c r="E19" s="506">
        <v>1070838</v>
      </c>
      <c r="F19" s="501">
        <v>1073547</v>
      </c>
      <c r="G19" s="331" t="s">
        <v>53</v>
      </c>
    </row>
    <row r="20" spans="1:7" s="264" customFormat="1">
      <c r="A20" s="485" t="s">
        <v>76</v>
      </c>
      <c r="B20" s="294">
        <v>45760</v>
      </c>
      <c r="C20" s="500">
        <v>47993</v>
      </c>
      <c r="D20" s="501">
        <v>48396</v>
      </c>
      <c r="E20" s="506">
        <v>49158</v>
      </c>
      <c r="F20" s="501">
        <v>48696</v>
      </c>
      <c r="G20" s="331" t="s">
        <v>53</v>
      </c>
    </row>
    <row r="21" spans="1:7" s="264" customFormat="1">
      <c r="A21" s="485" t="s">
        <v>77</v>
      </c>
      <c r="B21" s="294">
        <v>2538589</v>
      </c>
      <c r="C21" s="500">
        <v>4446336.7163592316</v>
      </c>
      <c r="D21" s="504">
        <v>4601141.5999999996</v>
      </c>
      <c r="E21" s="506">
        <f>1735344+320678.5</f>
        <v>2056022.5</v>
      </c>
      <c r="F21" s="501">
        <f>1820398+427962.5</f>
        <v>2248360.5</v>
      </c>
      <c r="G21" s="331" t="s">
        <v>103</v>
      </c>
    </row>
    <row r="22" spans="1:7" s="264" customFormat="1">
      <c r="A22" s="485" t="s">
        <v>78</v>
      </c>
      <c r="B22" s="294">
        <v>1613633</v>
      </c>
      <c r="C22" s="500">
        <v>2250919</v>
      </c>
      <c r="D22" s="504">
        <v>2318136</v>
      </c>
      <c r="E22" s="506">
        <v>1815035</v>
      </c>
      <c r="F22" s="501">
        <v>2083544</v>
      </c>
      <c r="G22" s="331" t="s">
        <v>103</v>
      </c>
    </row>
    <row r="23" spans="1:7" s="264" customFormat="1">
      <c r="A23" s="485" t="s">
        <v>79</v>
      </c>
      <c r="B23" s="294">
        <v>1550704</v>
      </c>
      <c r="C23" s="500">
        <v>2183898</v>
      </c>
      <c r="D23" s="504">
        <v>2363682</v>
      </c>
      <c r="E23" s="506">
        <v>1902798</v>
      </c>
      <c r="F23" s="501">
        <v>2503129</v>
      </c>
      <c r="G23" s="331" t="s">
        <v>103</v>
      </c>
    </row>
    <row r="24" spans="1:7" s="264" customFormat="1">
      <c r="A24" s="485" t="s">
        <v>80</v>
      </c>
      <c r="B24" s="294">
        <v>443118</v>
      </c>
      <c r="C24" s="500">
        <v>439834</v>
      </c>
      <c r="D24" s="504">
        <v>435847</v>
      </c>
      <c r="E24" s="506">
        <v>439054</v>
      </c>
      <c r="F24" s="501">
        <v>434291</v>
      </c>
      <c r="G24" s="331" t="s">
        <v>103</v>
      </c>
    </row>
    <row r="25" spans="1:7" s="264" customFormat="1">
      <c r="A25" s="485" t="s">
        <v>81</v>
      </c>
      <c r="B25" s="294">
        <v>9993953</v>
      </c>
      <c r="C25" s="500">
        <v>9921704</v>
      </c>
      <c r="D25" s="504">
        <v>10124159</v>
      </c>
      <c r="E25" s="506">
        <f>9967405+70604</f>
        <v>10038009</v>
      </c>
      <c r="F25" s="501">
        <f>10856360+85445</f>
        <v>10941805</v>
      </c>
      <c r="G25" s="331" t="s">
        <v>103</v>
      </c>
    </row>
    <row r="26" spans="1:7" s="264" customFormat="1">
      <c r="A26" s="485" t="s">
        <v>82</v>
      </c>
      <c r="B26" s="294">
        <v>2090084</v>
      </c>
      <c r="C26" s="500">
        <v>2416320</v>
      </c>
      <c r="D26" s="504">
        <v>2455796</v>
      </c>
      <c r="E26" s="506">
        <v>1560552</v>
      </c>
      <c r="F26" s="501">
        <v>2197853</v>
      </c>
      <c r="G26" s="331" t="s">
        <v>103</v>
      </c>
    </row>
    <row r="27" spans="1:7" s="264" customFormat="1">
      <c r="A27" s="485" t="s">
        <v>83</v>
      </c>
      <c r="B27" s="294">
        <v>3246317</v>
      </c>
      <c r="C27" s="500">
        <v>4856263.3362945914</v>
      </c>
      <c r="D27" s="504">
        <v>4363462.5699786376</v>
      </c>
      <c r="E27" s="506">
        <f>3198061+(3198061*0.58)</f>
        <v>5052936.38</v>
      </c>
      <c r="F27" s="501">
        <f>3312187+1905553</f>
        <v>5217740</v>
      </c>
      <c r="G27" s="331" t="s">
        <v>103</v>
      </c>
    </row>
    <row r="28" spans="1:7" s="264" customFormat="1">
      <c r="A28" s="485" t="s">
        <v>84</v>
      </c>
      <c r="B28" s="294">
        <v>510235</v>
      </c>
      <c r="C28" s="500">
        <v>642570</v>
      </c>
      <c r="D28" s="504">
        <v>596052</v>
      </c>
      <c r="E28" s="506">
        <v>549049</v>
      </c>
      <c r="F28" s="501">
        <v>554292</v>
      </c>
      <c r="G28" s="331" t="s">
        <v>55</v>
      </c>
    </row>
    <row r="29" spans="1:7" s="264" customFormat="1">
      <c r="A29" s="485" t="s">
        <v>85</v>
      </c>
      <c r="B29" s="294">
        <v>7083947</v>
      </c>
      <c r="C29" s="500">
        <v>6831089</v>
      </c>
      <c r="D29" s="504">
        <v>7486016</v>
      </c>
      <c r="E29" s="506">
        <v>7290100</v>
      </c>
      <c r="F29" s="501">
        <v>7359404</v>
      </c>
      <c r="G29" s="331" t="s">
        <v>55</v>
      </c>
    </row>
    <row r="30" spans="1:7" s="264" customFormat="1">
      <c r="A30" s="485" t="s">
        <v>86</v>
      </c>
      <c r="B30" s="294">
        <v>903292</v>
      </c>
      <c r="C30" s="500">
        <v>1039319</v>
      </c>
      <c r="D30" s="504">
        <v>1147826</v>
      </c>
      <c r="E30" s="506">
        <v>1082589</v>
      </c>
      <c r="F30" s="501">
        <v>1050017</v>
      </c>
      <c r="G30" s="331" t="s">
        <v>56</v>
      </c>
    </row>
    <row r="31" spans="1:7" s="264" customFormat="1">
      <c r="A31" s="485" t="s">
        <v>87</v>
      </c>
      <c r="B31" s="294">
        <v>322801</v>
      </c>
      <c r="C31" s="500">
        <v>342734</v>
      </c>
      <c r="D31" s="504">
        <v>343521</v>
      </c>
      <c r="E31" s="506">
        <v>350787</v>
      </c>
      <c r="F31" s="501">
        <v>373643</v>
      </c>
      <c r="G31" s="331" t="s">
        <v>56</v>
      </c>
    </row>
    <row r="32" spans="1:7" s="264" customFormat="1">
      <c r="A32" s="485" t="s">
        <v>88</v>
      </c>
      <c r="B32" s="294">
        <v>2293106</v>
      </c>
      <c r="C32" s="500">
        <v>2445997</v>
      </c>
      <c r="D32" s="504">
        <v>2583983</v>
      </c>
      <c r="E32" s="506">
        <v>2537776</v>
      </c>
      <c r="F32" s="501">
        <v>2582667</v>
      </c>
      <c r="G32" s="331" t="s">
        <v>56</v>
      </c>
    </row>
    <row r="33" spans="1:7" s="264" customFormat="1">
      <c r="A33" s="485" t="s">
        <v>89</v>
      </c>
      <c r="B33" s="294">
        <v>211470</v>
      </c>
      <c r="C33" s="500">
        <v>279770</v>
      </c>
      <c r="D33" s="504">
        <v>219908</v>
      </c>
      <c r="E33" s="506">
        <v>211357</v>
      </c>
      <c r="F33" s="501">
        <v>220116</v>
      </c>
      <c r="G33" s="331" t="s">
        <v>56</v>
      </c>
    </row>
    <row r="34" spans="1:7" s="264" customFormat="1">
      <c r="A34" s="485" t="s">
        <v>90</v>
      </c>
      <c r="B34" s="294">
        <v>246480.66167042419</v>
      </c>
      <c r="C34" s="500">
        <v>564906</v>
      </c>
      <c r="D34" s="504">
        <v>581543</v>
      </c>
      <c r="E34" s="506">
        <v>604900</v>
      </c>
      <c r="F34" s="501">
        <v>710177</v>
      </c>
      <c r="G34" s="331" t="s">
        <v>57</v>
      </c>
    </row>
    <row r="35" spans="1:7" s="264" customFormat="1">
      <c r="A35" s="485" t="s">
        <v>91</v>
      </c>
      <c r="B35" s="294">
        <v>719377</v>
      </c>
      <c r="C35" s="500">
        <v>760696</v>
      </c>
      <c r="D35" s="504">
        <v>738854</v>
      </c>
      <c r="E35" s="506">
        <v>752668</v>
      </c>
      <c r="F35" s="501">
        <v>753636</v>
      </c>
      <c r="G35" s="331" t="s">
        <v>57</v>
      </c>
    </row>
    <row r="36" spans="1:7" s="264" customFormat="1">
      <c r="A36" s="485" t="s">
        <v>93</v>
      </c>
      <c r="B36" s="294">
        <v>190964</v>
      </c>
      <c r="C36" s="500">
        <v>194000</v>
      </c>
      <c r="D36" s="504">
        <v>190391</v>
      </c>
      <c r="E36" s="506">
        <v>175322</v>
      </c>
      <c r="F36" s="501">
        <v>185237</v>
      </c>
      <c r="G36" s="331" t="s">
        <v>57</v>
      </c>
    </row>
    <row r="37" spans="1:7" s="264" customFormat="1">
      <c r="A37" s="485" t="s">
        <v>94</v>
      </c>
      <c r="B37" s="294">
        <v>1134900</v>
      </c>
      <c r="C37" s="500">
        <v>1398610</v>
      </c>
      <c r="D37" s="504">
        <v>1429809</v>
      </c>
      <c r="E37" s="506">
        <v>1280697</v>
      </c>
      <c r="F37" s="501">
        <v>1402170</v>
      </c>
      <c r="G37" s="331" t="s">
        <v>58</v>
      </c>
    </row>
    <row r="38" spans="1:7" s="264" customFormat="1">
      <c r="A38" s="485" t="s">
        <v>95</v>
      </c>
      <c r="B38" s="294">
        <v>389108</v>
      </c>
      <c r="C38" s="500">
        <v>386613</v>
      </c>
      <c r="D38" s="504">
        <v>384029</v>
      </c>
      <c r="E38" s="506">
        <v>410050</v>
      </c>
      <c r="F38" s="501">
        <v>414537</v>
      </c>
      <c r="G38" s="331" t="s">
        <v>58</v>
      </c>
    </row>
    <row r="39" spans="1:7" s="264" customFormat="1">
      <c r="A39" s="485" t="s">
        <v>96</v>
      </c>
      <c r="B39" s="294">
        <v>2165263</v>
      </c>
      <c r="C39" s="500">
        <f>1421169+348660</f>
        <v>1769829</v>
      </c>
      <c r="D39" s="504">
        <v>1565105</v>
      </c>
      <c r="E39" s="506">
        <v>1036821</v>
      </c>
      <c r="F39" s="501">
        <v>1190608</v>
      </c>
      <c r="G39" s="331" t="s">
        <v>58</v>
      </c>
    </row>
    <row r="40" spans="1:7" s="264" customFormat="1">
      <c r="A40" s="485" t="s">
        <v>97</v>
      </c>
      <c r="B40" s="294">
        <v>53769</v>
      </c>
      <c r="C40" s="500">
        <v>58939</v>
      </c>
      <c r="D40" s="504">
        <v>60203</v>
      </c>
      <c r="E40" s="506">
        <v>52022</v>
      </c>
      <c r="F40" s="501">
        <v>55690</v>
      </c>
      <c r="G40" s="331" t="s">
        <v>58</v>
      </c>
    </row>
    <row r="41" spans="1:7" s="264" customFormat="1">
      <c r="A41" s="485" t="s">
        <v>98</v>
      </c>
      <c r="B41" s="294">
        <v>755823</v>
      </c>
      <c r="C41" s="500">
        <v>748206</v>
      </c>
      <c r="D41" s="501">
        <v>664790</v>
      </c>
      <c r="E41" s="506">
        <v>354203</v>
      </c>
      <c r="F41" s="501">
        <v>310870</v>
      </c>
      <c r="G41" s="331" t="s">
        <v>58</v>
      </c>
    </row>
    <row r="42" spans="1:7" s="264" customFormat="1">
      <c r="A42" s="492" t="s">
        <v>99</v>
      </c>
      <c r="B42" s="513">
        <v>859784</v>
      </c>
      <c r="C42" s="500">
        <v>932702</v>
      </c>
      <c r="D42" s="504">
        <v>932594</v>
      </c>
      <c r="E42" s="506">
        <v>835707</v>
      </c>
      <c r="F42" s="514">
        <v>935668</v>
      </c>
      <c r="G42" s="331" t="s">
        <v>58</v>
      </c>
    </row>
    <row r="43" spans="1:7">
      <c r="A43" s="327" t="s">
        <v>191</v>
      </c>
      <c r="B43" s="515">
        <v>61150254</v>
      </c>
      <c r="C43" s="521">
        <f>SUM(C3:C42)</f>
        <v>67705611.052653819</v>
      </c>
      <c r="D43" s="521">
        <f>SUM(D3:D42)</f>
        <v>68579065.169978648</v>
      </c>
      <c r="E43" s="521">
        <f>SUM(E3:E42)</f>
        <v>61109691.880000003</v>
      </c>
      <c r="F43" s="521">
        <f>SUM(F3:F42)</f>
        <v>63847931.5</v>
      </c>
    </row>
    <row r="44" spans="1:7">
      <c r="B44" s="522"/>
      <c r="C44" s="319"/>
      <c r="D44" s="294"/>
    </row>
  </sheetData>
  <pageMargins left="0.25" right="0.25" top="0.75" bottom="0.75" header="0.3" footer="0.3"/>
  <pageSetup scale="93"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D48DA-66EF-4996-B128-2C8D74440601}">
  <sheetPr>
    <pageSetUpPr fitToPage="1"/>
  </sheetPr>
  <dimension ref="A1:C43"/>
  <sheetViews>
    <sheetView zoomScaleNormal="100" workbookViewId="0"/>
  </sheetViews>
  <sheetFormatPr defaultColWidth="9.28515625" defaultRowHeight="14.25"/>
  <cols>
    <col min="1" max="1" width="46.7109375" style="296" bestFit="1" customWidth="1"/>
    <col min="2" max="2" width="17.42578125" style="296" customWidth="1"/>
    <col min="3" max="3" width="15.28515625" style="296" customWidth="1"/>
    <col min="4" max="16384" width="9.28515625" style="296"/>
  </cols>
  <sheetData>
    <row r="1" spans="1:3">
      <c r="A1" s="296" t="s">
        <v>213</v>
      </c>
      <c r="B1" s="326">
        <v>2022</v>
      </c>
    </row>
    <row r="2" spans="1:3">
      <c r="A2" s="327" t="s">
        <v>190</v>
      </c>
      <c r="B2" s="328" t="s">
        <v>192</v>
      </c>
    </row>
    <row r="3" spans="1:3">
      <c r="A3" s="329" t="s">
        <v>60</v>
      </c>
      <c r="B3" s="523">
        <v>2305461</v>
      </c>
      <c r="C3" s="331" t="s">
        <v>49</v>
      </c>
    </row>
    <row r="4" spans="1:3">
      <c r="A4" s="329" t="s">
        <v>61</v>
      </c>
      <c r="B4" s="523">
        <v>453078</v>
      </c>
      <c r="C4" s="331" t="s">
        <v>49</v>
      </c>
    </row>
    <row r="5" spans="1:3">
      <c r="A5" s="329" t="s">
        <v>62</v>
      </c>
      <c r="B5" s="523">
        <f>2197137+427921</f>
        <v>2625058</v>
      </c>
      <c r="C5" s="331" t="s">
        <v>49</v>
      </c>
    </row>
    <row r="6" spans="1:3">
      <c r="A6" s="329" t="s">
        <v>63</v>
      </c>
      <c r="B6" s="523">
        <v>2162547</v>
      </c>
      <c r="C6" s="331" t="s">
        <v>49</v>
      </c>
    </row>
    <row r="7" spans="1:3">
      <c r="A7" s="329" t="s">
        <v>64</v>
      </c>
      <c r="B7" s="523">
        <v>403050</v>
      </c>
      <c r="C7" s="331" t="s">
        <v>49</v>
      </c>
    </row>
    <row r="8" spans="1:3">
      <c r="A8" s="329" t="s">
        <v>65</v>
      </c>
      <c r="B8" s="523">
        <v>9117656</v>
      </c>
      <c r="C8" s="331" t="s">
        <v>50</v>
      </c>
    </row>
    <row r="9" spans="1:3">
      <c r="A9" s="474"/>
      <c r="B9" s="524"/>
      <c r="C9" s="476"/>
    </row>
    <row r="10" spans="1:3">
      <c r="A10" s="329" t="s">
        <v>66</v>
      </c>
      <c r="B10" s="523">
        <v>4295390</v>
      </c>
      <c r="C10" s="331" t="s">
        <v>51</v>
      </c>
    </row>
    <row r="11" spans="1:3">
      <c r="A11" s="329" t="s">
        <v>67</v>
      </c>
      <c r="B11" s="523">
        <v>1722873</v>
      </c>
      <c r="C11" s="331" t="s">
        <v>104</v>
      </c>
    </row>
    <row r="12" spans="1:3">
      <c r="A12" s="329" t="s">
        <v>68</v>
      </c>
      <c r="B12" s="523">
        <v>161701</v>
      </c>
      <c r="C12" s="331" t="s">
        <v>104</v>
      </c>
    </row>
    <row r="13" spans="1:3">
      <c r="A13" s="329" t="s">
        <v>69</v>
      </c>
      <c r="B13" s="523">
        <v>99106247</v>
      </c>
      <c r="C13" s="331" t="s">
        <v>104</v>
      </c>
    </row>
    <row r="14" spans="1:3">
      <c r="A14" s="329" t="s">
        <v>70</v>
      </c>
      <c r="B14" s="523">
        <v>1199104</v>
      </c>
      <c r="C14" s="331" t="s">
        <v>104</v>
      </c>
    </row>
    <row r="15" spans="1:3">
      <c r="A15" s="329" t="s">
        <v>71</v>
      </c>
      <c r="B15" s="523">
        <v>67079</v>
      </c>
      <c r="C15" s="331" t="s">
        <v>104</v>
      </c>
    </row>
    <row r="16" spans="1:3">
      <c r="A16" s="329" t="s">
        <v>72</v>
      </c>
      <c r="B16" s="523">
        <f>6271355+851987</f>
        <v>7123342</v>
      </c>
      <c r="C16" s="331" t="s">
        <v>104</v>
      </c>
    </row>
    <row r="17" spans="1:3">
      <c r="A17" s="329" t="s">
        <v>73</v>
      </c>
      <c r="B17" s="523">
        <v>3168403</v>
      </c>
      <c r="C17" s="331" t="s">
        <v>53</v>
      </c>
    </row>
    <row r="18" spans="1:3">
      <c r="A18" s="329" t="s">
        <v>74</v>
      </c>
      <c r="B18" s="523">
        <v>605988</v>
      </c>
      <c r="C18" s="331" t="s">
        <v>53</v>
      </c>
    </row>
    <row r="19" spans="1:3">
      <c r="A19" s="329" t="s">
        <v>75</v>
      </c>
      <c r="B19" s="523">
        <v>7645579</v>
      </c>
      <c r="C19" s="331" t="s">
        <v>53</v>
      </c>
    </row>
    <row r="20" spans="1:3">
      <c r="A20" s="329" t="s">
        <v>76</v>
      </c>
      <c r="B20" s="523">
        <v>107836</v>
      </c>
      <c r="C20" s="331" t="s">
        <v>53</v>
      </c>
    </row>
    <row r="21" spans="1:3">
      <c r="A21" s="329" t="s">
        <v>77</v>
      </c>
      <c r="B21" s="523">
        <v>15647246</v>
      </c>
      <c r="C21" s="331" t="s">
        <v>103</v>
      </c>
    </row>
    <row r="22" spans="1:3">
      <c r="A22" s="329" t="s">
        <v>78</v>
      </c>
      <c r="B22" s="523">
        <v>26239078</v>
      </c>
      <c r="C22" s="331" t="s">
        <v>103</v>
      </c>
    </row>
    <row r="23" spans="1:3">
      <c r="A23" s="329" t="s">
        <v>79</v>
      </c>
      <c r="B23" s="523">
        <v>27236031</v>
      </c>
      <c r="C23" s="331" t="s">
        <v>103</v>
      </c>
    </row>
    <row r="24" spans="1:3">
      <c r="A24" s="329" t="s">
        <v>80</v>
      </c>
      <c r="B24" s="523">
        <v>5244294</v>
      </c>
      <c r="C24" s="331" t="s">
        <v>103</v>
      </c>
    </row>
    <row r="25" spans="1:3">
      <c r="A25" s="329" t="s">
        <v>81</v>
      </c>
      <c r="B25" s="523">
        <v>103337911</v>
      </c>
      <c r="C25" s="331" t="s">
        <v>103</v>
      </c>
    </row>
    <row r="26" spans="1:3">
      <c r="A26" s="329" t="s">
        <v>82</v>
      </c>
      <c r="B26" s="523">
        <v>60655515</v>
      </c>
      <c r="C26" s="331" t="s">
        <v>103</v>
      </c>
    </row>
    <row r="27" spans="1:3">
      <c r="A27" s="329" t="s">
        <v>83</v>
      </c>
      <c r="B27" s="523">
        <v>33464344</v>
      </c>
      <c r="C27" s="331" t="s">
        <v>103</v>
      </c>
    </row>
    <row r="28" spans="1:3">
      <c r="A28" s="329" t="s">
        <v>84</v>
      </c>
      <c r="B28" s="523">
        <v>4066652</v>
      </c>
      <c r="C28" s="331" t="s">
        <v>55</v>
      </c>
    </row>
    <row r="29" spans="1:3">
      <c r="A29" s="329" t="s">
        <v>85</v>
      </c>
      <c r="B29" s="523">
        <v>57445154</v>
      </c>
      <c r="C29" s="331" t="s">
        <v>55</v>
      </c>
    </row>
    <row r="30" spans="1:3">
      <c r="A30" s="329" t="s">
        <v>86</v>
      </c>
      <c r="B30" s="523">
        <v>9821438</v>
      </c>
      <c r="C30" s="331" t="s">
        <v>56</v>
      </c>
    </row>
    <row r="31" spans="1:3">
      <c r="A31" s="329" t="s">
        <v>87</v>
      </c>
      <c r="B31" s="523">
        <v>1758084</v>
      </c>
      <c r="C31" s="331" t="s">
        <v>56</v>
      </c>
    </row>
    <row r="32" spans="1:3">
      <c r="A32" s="329" t="s">
        <v>88</v>
      </c>
      <c r="B32" s="523">
        <f>9645948+978360</f>
        <v>10624308</v>
      </c>
      <c r="C32" s="331" t="s">
        <v>56</v>
      </c>
    </row>
    <row r="33" spans="1:3">
      <c r="A33" s="329" t="s">
        <v>89</v>
      </c>
      <c r="B33" s="523">
        <v>741857</v>
      </c>
      <c r="C33" s="331" t="s">
        <v>56</v>
      </c>
    </row>
    <row r="34" spans="1:3">
      <c r="A34" s="329" t="s">
        <v>90</v>
      </c>
      <c r="B34" s="523">
        <f>1049334+555020</f>
        <v>1604354</v>
      </c>
      <c r="C34" s="331" t="s">
        <v>57</v>
      </c>
    </row>
    <row r="35" spans="1:3">
      <c r="A35" s="329" t="s">
        <v>91</v>
      </c>
      <c r="B35" s="523">
        <v>5885541</v>
      </c>
      <c r="C35" s="331" t="s">
        <v>57</v>
      </c>
    </row>
    <row r="36" spans="1:3">
      <c r="A36" s="329" t="s">
        <v>93</v>
      </c>
      <c r="B36" s="523">
        <v>1423713</v>
      </c>
      <c r="C36" s="331" t="s">
        <v>57</v>
      </c>
    </row>
    <row r="37" spans="1:3">
      <c r="A37" s="329" t="s">
        <v>94</v>
      </c>
      <c r="B37" s="523">
        <v>4486729</v>
      </c>
      <c r="C37" s="331" t="s">
        <v>58</v>
      </c>
    </row>
    <row r="38" spans="1:3">
      <c r="A38" s="329" t="s">
        <v>95</v>
      </c>
      <c r="B38" s="523">
        <v>573381</v>
      </c>
      <c r="C38" s="331" t="s">
        <v>58</v>
      </c>
    </row>
    <row r="39" spans="1:3">
      <c r="A39" s="329" t="s">
        <v>96</v>
      </c>
      <c r="B39" s="523">
        <f>3725083+3835748</f>
        <v>7560831</v>
      </c>
      <c r="C39" s="331" t="s">
        <v>58</v>
      </c>
    </row>
    <row r="40" spans="1:3">
      <c r="A40" s="329" t="s">
        <v>97</v>
      </c>
      <c r="B40" s="523">
        <v>162010</v>
      </c>
      <c r="C40" s="331" t="s">
        <v>58</v>
      </c>
    </row>
    <row r="41" spans="1:3">
      <c r="A41" s="329" t="s">
        <v>98</v>
      </c>
      <c r="B41" s="523">
        <v>1205875</v>
      </c>
      <c r="C41" s="331" t="s">
        <v>58</v>
      </c>
    </row>
    <row r="42" spans="1:3">
      <c r="A42" s="329" t="s">
        <v>99</v>
      </c>
      <c r="B42" s="523">
        <v>4022350</v>
      </c>
      <c r="C42" s="331" t="s">
        <v>58</v>
      </c>
    </row>
    <row r="43" spans="1:3">
      <c r="A43" s="334" t="s">
        <v>191</v>
      </c>
      <c r="B43" s="347">
        <f>SUM(B3:B42)</f>
        <v>525477088</v>
      </c>
      <c r="C43" s="336"/>
    </row>
  </sheetData>
  <pageMargins left="0.25" right="0.25" top="0.75" bottom="0.75" header="0.3" footer="0.3"/>
  <pageSetup scale="93"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56741-37C0-4378-BCF2-FBE0E03B4523}">
  <sheetPr>
    <pageSetUpPr fitToPage="1"/>
  </sheetPr>
  <dimension ref="A1:F44"/>
  <sheetViews>
    <sheetView zoomScaleNormal="100" workbookViewId="0"/>
  </sheetViews>
  <sheetFormatPr defaultColWidth="9.28515625" defaultRowHeight="14.25"/>
  <cols>
    <col min="1" max="1" width="46.7109375" style="296" bestFit="1" customWidth="1"/>
    <col min="2" max="4" width="16.7109375" style="320" customWidth="1"/>
    <col min="5" max="5" width="16.7109375" style="296" customWidth="1"/>
    <col min="6" max="6" width="16.28515625" style="296" customWidth="1"/>
    <col min="7" max="16384" width="9.28515625" style="296"/>
  </cols>
  <sheetData>
    <row r="1" spans="1:6">
      <c r="A1" s="296" t="s">
        <v>214</v>
      </c>
      <c r="B1" s="326">
        <v>2018</v>
      </c>
      <c r="C1" s="326">
        <v>2019</v>
      </c>
      <c r="D1" s="326">
        <v>2021</v>
      </c>
      <c r="E1" s="326">
        <v>2022</v>
      </c>
    </row>
    <row r="2" spans="1:6" ht="30" customHeight="1">
      <c r="A2" s="337" t="s">
        <v>190</v>
      </c>
      <c r="B2" s="478" t="s">
        <v>193</v>
      </c>
      <c r="C2" s="478" t="s">
        <v>193</v>
      </c>
      <c r="D2" s="478" t="s">
        <v>193</v>
      </c>
      <c r="E2" s="478" t="s">
        <v>193</v>
      </c>
    </row>
    <row r="3" spans="1:6">
      <c r="A3" s="327" t="s">
        <v>60</v>
      </c>
      <c r="B3" s="525">
        <v>1633971</v>
      </c>
      <c r="C3" s="339">
        <v>1704406</v>
      </c>
      <c r="D3" s="340">
        <v>1885201</v>
      </c>
      <c r="E3" s="526">
        <v>2305461</v>
      </c>
      <c r="F3" s="331" t="s">
        <v>49</v>
      </c>
    </row>
    <row r="4" spans="1:6">
      <c r="A4" s="327" t="s">
        <v>61</v>
      </c>
      <c r="B4" s="525">
        <v>409789</v>
      </c>
      <c r="C4" s="339">
        <v>408394</v>
      </c>
      <c r="D4" s="340">
        <v>420143</v>
      </c>
      <c r="E4" s="526">
        <v>453078</v>
      </c>
      <c r="F4" s="331" t="s">
        <v>49</v>
      </c>
    </row>
    <row r="5" spans="1:6">
      <c r="A5" s="327" t="s">
        <v>62</v>
      </c>
      <c r="B5" s="525">
        <f>131633+1867167</f>
        <v>1998800</v>
      </c>
      <c r="C5" s="339">
        <v>2142765</v>
      </c>
      <c r="D5" s="340">
        <v>2417284</v>
      </c>
      <c r="E5" s="526">
        <f>2197137+427921</f>
        <v>2625058</v>
      </c>
      <c r="F5" s="331" t="s">
        <v>49</v>
      </c>
    </row>
    <row r="6" spans="1:6">
      <c r="A6" s="327" t="s">
        <v>63</v>
      </c>
      <c r="B6" s="525">
        <v>1794360</v>
      </c>
      <c r="C6" s="339">
        <v>1503619</v>
      </c>
      <c r="D6" s="340">
        <v>1490840</v>
      </c>
      <c r="E6" s="526">
        <v>2166873</v>
      </c>
      <c r="F6" s="331" t="s">
        <v>49</v>
      </c>
    </row>
    <row r="7" spans="1:6">
      <c r="A7" s="327" t="s">
        <v>64</v>
      </c>
      <c r="B7" s="525">
        <v>315308</v>
      </c>
      <c r="C7" s="339">
        <v>312912</v>
      </c>
      <c r="D7" s="340">
        <v>362879</v>
      </c>
      <c r="E7" s="526">
        <v>476060</v>
      </c>
      <c r="F7" s="331" t="s">
        <v>49</v>
      </c>
    </row>
    <row r="8" spans="1:6">
      <c r="A8" s="327" t="s">
        <v>65</v>
      </c>
      <c r="B8" s="525">
        <v>8024981</v>
      </c>
      <c r="C8" s="339">
        <v>8787907</v>
      </c>
      <c r="D8" s="340">
        <v>9097088</v>
      </c>
      <c r="E8" s="526">
        <v>9197369</v>
      </c>
      <c r="F8" s="331" t="s">
        <v>50</v>
      </c>
    </row>
    <row r="9" spans="1:6">
      <c r="A9" s="327"/>
      <c r="B9" s="525">
        <v>0</v>
      </c>
      <c r="C9" s="339">
        <v>0</v>
      </c>
      <c r="D9" s="340">
        <v>0</v>
      </c>
      <c r="E9" s="527">
        <v>0</v>
      </c>
      <c r="F9" s="331"/>
    </row>
    <row r="10" spans="1:6">
      <c r="A10" s="327" t="s">
        <v>66</v>
      </c>
      <c r="B10" s="525">
        <v>3766590</v>
      </c>
      <c r="C10" s="339">
        <v>3794064</v>
      </c>
      <c r="D10" s="340">
        <v>3992271</v>
      </c>
      <c r="E10" s="526">
        <v>4537045</v>
      </c>
      <c r="F10" s="331" t="s">
        <v>51</v>
      </c>
    </row>
    <row r="11" spans="1:6">
      <c r="A11" s="327" t="s">
        <v>67</v>
      </c>
      <c r="B11" s="525">
        <v>1015294</v>
      </c>
      <c r="C11" s="339">
        <v>1302116</v>
      </c>
      <c r="D11" s="340">
        <v>1445143</v>
      </c>
      <c r="E11" s="526">
        <v>1726724</v>
      </c>
      <c r="F11" s="331" t="s">
        <v>104</v>
      </c>
    </row>
    <row r="12" spans="1:6">
      <c r="A12" s="327" t="s">
        <v>68</v>
      </c>
      <c r="B12" s="525">
        <v>160548</v>
      </c>
      <c r="C12" s="339">
        <v>137016</v>
      </c>
      <c r="D12" s="340">
        <v>150877</v>
      </c>
      <c r="E12" s="526">
        <v>167538</v>
      </c>
      <c r="F12" s="331" t="s">
        <v>104</v>
      </c>
    </row>
    <row r="13" spans="1:6">
      <c r="A13" s="327" t="s">
        <v>69</v>
      </c>
      <c r="B13" s="525">
        <v>96337645</v>
      </c>
      <c r="C13" s="339">
        <v>96559705</v>
      </c>
      <c r="D13" s="345">
        <v>104883123</v>
      </c>
      <c r="E13" s="526">
        <v>99766003</v>
      </c>
      <c r="F13" s="331" t="s">
        <v>104</v>
      </c>
    </row>
    <row r="14" spans="1:6">
      <c r="A14" s="327" t="s">
        <v>70</v>
      </c>
      <c r="B14" s="525">
        <f>724963+149940</f>
        <v>874903</v>
      </c>
      <c r="C14" s="339">
        <v>743417</v>
      </c>
      <c r="D14" s="340">
        <v>993897</v>
      </c>
      <c r="E14" s="526">
        <v>1200984</v>
      </c>
      <c r="F14" s="331" t="s">
        <v>104</v>
      </c>
    </row>
    <row r="15" spans="1:6">
      <c r="A15" s="327" t="s">
        <v>71</v>
      </c>
      <c r="B15" s="525">
        <v>83644</v>
      </c>
      <c r="C15" s="339">
        <v>94002</v>
      </c>
      <c r="D15" s="340">
        <v>78491</v>
      </c>
      <c r="E15" s="526">
        <v>67079</v>
      </c>
      <c r="F15" s="331" t="s">
        <v>104</v>
      </c>
    </row>
    <row r="16" spans="1:6">
      <c r="A16" s="327" t="s">
        <v>72</v>
      </c>
      <c r="B16" s="525">
        <f>7014823+533440</f>
        <v>7548263</v>
      </c>
      <c r="C16" s="339">
        <v>7556622</v>
      </c>
      <c r="D16" s="345">
        <v>7106671</v>
      </c>
      <c r="E16" s="526">
        <f>6441826+1022458</f>
        <v>7464284</v>
      </c>
      <c r="F16" s="331" t="s">
        <v>104</v>
      </c>
    </row>
    <row r="17" spans="1:6">
      <c r="A17" s="327" t="s">
        <v>73</v>
      </c>
      <c r="B17" s="525">
        <v>2599569</v>
      </c>
      <c r="C17" s="339">
        <v>2936216</v>
      </c>
      <c r="D17" s="340">
        <v>2798006</v>
      </c>
      <c r="E17" s="526">
        <v>3169013</v>
      </c>
      <c r="F17" s="331" t="s">
        <v>53</v>
      </c>
    </row>
    <row r="18" spans="1:6">
      <c r="A18" s="327" t="s">
        <v>74</v>
      </c>
      <c r="B18" s="525">
        <v>705118</v>
      </c>
      <c r="C18" s="339">
        <v>680721</v>
      </c>
      <c r="D18" s="340">
        <v>618607</v>
      </c>
      <c r="E18" s="526">
        <v>605988</v>
      </c>
      <c r="F18" s="331" t="s">
        <v>53</v>
      </c>
    </row>
    <row r="19" spans="1:6">
      <c r="A19" s="327" t="s">
        <v>75</v>
      </c>
      <c r="B19" s="525">
        <v>8335733</v>
      </c>
      <c r="C19" s="339">
        <v>8090443</v>
      </c>
      <c r="D19" s="340">
        <v>6699359</v>
      </c>
      <c r="E19" s="526">
        <v>7696112</v>
      </c>
      <c r="F19" s="331" t="s">
        <v>53</v>
      </c>
    </row>
    <row r="20" spans="1:6">
      <c r="A20" s="327" t="s">
        <v>76</v>
      </c>
      <c r="B20" s="525">
        <v>101371</v>
      </c>
      <c r="C20" s="339">
        <v>105808</v>
      </c>
      <c r="D20" s="340">
        <v>115693</v>
      </c>
      <c r="E20" s="526">
        <v>107836</v>
      </c>
      <c r="F20" s="331" t="s">
        <v>53</v>
      </c>
    </row>
    <row r="21" spans="1:6">
      <c r="A21" s="327" t="s">
        <v>77</v>
      </c>
      <c r="B21" s="525">
        <v>17214528</v>
      </c>
      <c r="C21" s="339">
        <v>19976846</v>
      </c>
      <c r="D21" s="340">
        <v>17358937</v>
      </c>
      <c r="E21" s="526">
        <v>15647246</v>
      </c>
      <c r="F21" s="331" t="s">
        <v>103</v>
      </c>
    </row>
    <row r="22" spans="1:6">
      <c r="A22" s="327" t="s">
        <v>78</v>
      </c>
      <c r="B22" s="525">
        <v>15987544</v>
      </c>
      <c r="C22" s="339">
        <v>16006416</v>
      </c>
      <c r="D22" s="340">
        <v>20953458</v>
      </c>
      <c r="E22" s="526">
        <v>26239078</v>
      </c>
      <c r="F22" s="331" t="s">
        <v>103</v>
      </c>
    </row>
    <row r="23" spans="1:6">
      <c r="A23" s="327" t="s">
        <v>79</v>
      </c>
      <c r="B23" s="525">
        <v>18475963</v>
      </c>
      <c r="C23" s="339">
        <v>20927678</v>
      </c>
      <c r="D23" s="340">
        <v>24099554</v>
      </c>
      <c r="E23" s="526">
        <v>27269531</v>
      </c>
      <c r="F23" s="331" t="s">
        <v>103</v>
      </c>
    </row>
    <row r="24" spans="1:6">
      <c r="A24" s="327" t="s">
        <v>80</v>
      </c>
      <c r="B24" s="525">
        <v>3919176</v>
      </c>
      <c r="C24" s="339">
        <v>3975210</v>
      </c>
      <c r="D24" s="340">
        <v>4566109</v>
      </c>
      <c r="E24" s="526">
        <v>5346157</v>
      </c>
      <c r="F24" s="331" t="s">
        <v>103</v>
      </c>
    </row>
    <row r="25" spans="1:6">
      <c r="A25" s="327" t="s">
        <v>81</v>
      </c>
      <c r="B25" s="525">
        <v>85931475</v>
      </c>
      <c r="C25" s="339">
        <v>84690252</v>
      </c>
      <c r="D25" s="340">
        <v>96368493</v>
      </c>
      <c r="E25" s="526">
        <v>103826125</v>
      </c>
      <c r="F25" s="331" t="s">
        <v>103</v>
      </c>
    </row>
    <row r="26" spans="1:6">
      <c r="A26" s="327" t="s">
        <v>82</v>
      </c>
      <c r="B26" s="525">
        <v>78840775</v>
      </c>
      <c r="C26" s="339">
        <v>77462324</v>
      </c>
      <c r="D26" s="340">
        <v>81589639</v>
      </c>
      <c r="E26" s="526">
        <v>82086963</v>
      </c>
      <c r="F26" s="331" t="s">
        <v>103</v>
      </c>
    </row>
    <row r="27" spans="1:6">
      <c r="A27" s="327" t="s">
        <v>83</v>
      </c>
      <c r="B27" s="525">
        <v>30927035</v>
      </c>
      <c r="C27" s="339">
        <v>32732408</v>
      </c>
      <c r="D27" s="340">
        <v>36961071</v>
      </c>
      <c r="E27" s="526">
        <v>39737337</v>
      </c>
      <c r="F27" s="331" t="s">
        <v>103</v>
      </c>
    </row>
    <row r="28" spans="1:6">
      <c r="A28" s="327" t="s">
        <v>84</v>
      </c>
      <c r="B28" s="525">
        <v>3581824</v>
      </c>
      <c r="C28" s="339">
        <v>3576413</v>
      </c>
      <c r="D28" s="340">
        <v>4655649</v>
      </c>
      <c r="E28" s="526">
        <v>4080556</v>
      </c>
      <c r="F28" s="331" t="s">
        <v>55</v>
      </c>
    </row>
    <row r="29" spans="1:6">
      <c r="A29" s="327" t="s">
        <v>85</v>
      </c>
      <c r="B29" s="528">
        <v>47140849</v>
      </c>
      <c r="C29" s="339">
        <v>51428352</v>
      </c>
      <c r="D29" s="340">
        <v>64863638</v>
      </c>
      <c r="E29" s="526">
        <v>58367488</v>
      </c>
      <c r="F29" s="331" t="s">
        <v>55</v>
      </c>
    </row>
    <row r="30" spans="1:6">
      <c r="A30" s="327" t="s">
        <v>86</v>
      </c>
      <c r="B30" s="525">
        <v>8994328</v>
      </c>
      <c r="C30" s="339">
        <v>9105239</v>
      </c>
      <c r="D30" s="340">
        <v>9918427</v>
      </c>
      <c r="E30" s="526">
        <v>10001495</v>
      </c>
      <c r="F30" s="331" t="s">
        <v>56</v>
      </c>
    </row>
    <row r="31" spans="1:6">
      <c r="A31" s="327" t="s">
        <v>87</v>
      </c>
      <c r="B31" s="525">
        <v>1434443</v>
      </c>
      <c r="C31" s="339">
        <v>1572280</v>
      </c>
      <c r="D31" s="340">
        <v>1675170</v>
      </c>
      <c r="E31" s="526">
        <v>1758084</v>
      </c>
      <c r="F31" s="331" t="s">
        <v>56</v>
      </c>
    </row>
    <row r="32" spans="1:6">
      <c r="A32" s="327" t="s">
        <v>88</v>
      </c>
      <c r="B32" s="525">
        <f>8776429+808569</f>
        <v>9584998</v>
      </c>
      <c r="C32" s="339">
        <v>10440607</v>
      </c>
      <c r="D32" s="340">
        <v>10417569</v>
      </c>
      <c r="E32" s="523">
        <f>9645948+978360</f>
        <v>10624308</v>
      </c>
      <c r="F32" s="331" t="s">
        <v>56</v>
      </c>
    </row>
    <row r="33" spans="1:6">
      <c r="A33" s="327" t="s">
        <v>89</v>
      </c>
      <c r="B33" s="525">
        <v>737470</v>
      </c>
      <c r="C33" s="339">
        <v>733936</v>
      </c>
      <c r="D33" s="340">
        <v>798818</v>
      </c>
      <c r="E33" s="526">
        <v>788081</v>
      </c>
      <c r="F33" s="331" t="s">
        <v>56</v>
      </c>
    </row>
    <row r="34" spans="1:6">
      <c r="A34" s="327" t="s">
        <v>90</v>
      </c>
      <c r="B34" s="525">
        <f>1404136+657343</f>
        <v>2061479</v>
      </c>
      <c r="C34" s="339">
        <v>2120796</v>
      </c>
      <c r="D34" s="340">
        <v>2288742</v>
      </c>
      <c r="E34" s="526">
        <f>1677633+845055</f>
        <v>2522688</v>
      </c>
      <c r="F34" s="331" t="s">
        <v>57</v>
      </c>
    </row>
    <row r="35" spans="1:6">
      <c r="A35" s="327" t="s">
        <v>91</v>
      </c>
      <c r="B35" s="525">
        <v>4654028</v>
      </c>
      <c r="C35" s="339">
        <v>4923501</v>
      </c>
      <c r="D35" s="340">
        <v>5921804</v>
      </c>
      <c r="E35" s="526">
        <v>5960670</v>
      </c>
      <c r="F35" s="331" t="s">
        <v>57</v>
      </c>
    </row>
    <row r="36" spans="1:6">
      <c r="A36" s="327" t="s">
        <v>93</v>
      </c>
      <c r="B36" s="525">
        <v>1025868</v>
      </c>
      <c r="C36" s="339">
        <v>1130919</v>
      </c>
      <c r="D36" s="340">
        <v>1269764</v>
      </c>
      <c r="E36" s="526">
        <v>1423713</v>
      </c>
      <c r="F36" s="331" t="s">
        <v>57</v>
      </c>
    </row>
    <row r="37" spans="1:6">
      <c r="A37" s="327" t="s">
        <v>94</v>
      </c>
      <c r="B37" s="525">
        <v>3608467</v>
      </c>
      <c r="C37" s="339">
        <v>3611536</v>
      </c>
      <c r="D37" s="340">
        <v>3904286</v>
      </c>
      <c r="E37" s="526">
        <v>4637640</v>
      </c>
      <c r="F37" s="331" t="s">
        <v>58</v>
      </c>
    </row>
    <row r="38" spans="1:6">
      <c r="A38" s="327" t="s">
        <v>95</v>
      </c>
      <c r="B38" s="525">
        <v>362637</v>
      </c>
      <c r="C38" s="339">
        <v>409057</v>
      </c>
      <c r="D38" s="340">
        <v>578833</v>
      </c>
      <c r="E38" s="526">
        <v>573381</v>
      </c>
      <c r="F38" s="331" t="s">
        <v>58</v>
      </c>
    </row>
    <row r="39" spans="1:6">
      <c r="A39" s="327" t="s">
        <v>96</v>
      </c>
      <c r="B39" s="525">
        <f>3569368+2801436+900094</f>
        <v>7270898</v>
      </c>
      <c r="C39" s="339">
        <f>6853917+1111756</f>
        <v>7965673</v>
      </c>
      <c r="D39" s="340">
        <v>8461164</v>
      </c>
      <c r="E39" s="526">
        <f>3756448+3918424</f>
        <v>7674872</v>
      </c>
      <c r="F39" s="331" t="s">
        <v>58</v>
      </c>
    </row>
    <row r="40" spans="1:6">
      <c r="A40" s="327" t="s">
        <v>97</v>
      </c>
      <c r="B40" s="525">
        <v>136492</v>
      </c>
      <c r="C40" s="339">
        <v>143885</v>
      </c>
      <c r="D40" s="340">
        <v>146394</v>
      </c>
      <c r="E40" s="526">
        <v>162010</v>
      </c>
      <c r="F40" s="331" t="s">
        <v>58</v>
      </c>
    </row>
    <row r="41" spans="1:6">
      <c r="A41" s="327" t="s">
        <v>98</v>
      </c>
      <c r="B41" s="525">
        <v>1341070</v>
      </c>
      <c r="C41" s="339">
        <v>1405969</v>
      </c>
      <c r="D41" s="340">
        <v>1217295</v>
      </c>
      <c r="E41" s="526">
        <v>1442390</v>
      </c>
      <c r="F41" s="331" t="s">
        <v>58</v>
      </c>
    </row>
    <row r="42" spans="1:6">
      <c r="A42" s="337" t="s">
        <v>99</v>
      </c>
      <c r="B42" s="525">
        <v>2938525</v>
      </c>
      <c r="C42" s="339">
        <v>3146640</v>
      </c>
      <c r="D42" s="340">
        <v>3325310</v>
      </c>
      <c r="E42" s="526">
        <v>4022350</v>
      </c>
      <c r="F42" s="331" t="s">
        <v>58</v>
      </c>
    </row>
    <row r="43" spans="1:6">
      <c r="A43" s="327" t="s">
        <v>191</v>
      </c>
      <c r="B43" s="347">
        <f>SUM(B3:B42)</f>
        <v>481875759</v>
      </c>
      <c r="C43" s="347">
        <f>SUM(C3:C42)</f>
        <v>494346070</v>
      </c>
      <c r="D43" s="348">
        <f>SUM(D3:D42)</f>
        <v>545895697</v>
      </c>
      <c r="E43" s="529">
        <f>SUM(E3:E42)</f>
        <v>557924668</v>
      </c>
    </row>
    <row r="44" spans="1:6">
      <c r="B44" s="319"/>
      <c r="C44" s="319"/>
    </row>
  </sheetData>
  <pageMargins left="0.25" right="0.25" top="0.75" bottom="0.75" header="0.3" footer="0.3"/>
  <pageSetup scale="94"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2A09A-8313-41EF-B2E1-CA2EE3F0A072}">
  <sheetPr>
    <tabColor theme="5"/>
    <pageSetUpPr fitToPage="1"/>
  </sheetPr>
  <dimension ref="A1:CN53"/>
  <sheetViews>
    <sheetView zoomScale="70" zoomScaleNormal="70" workbookViewId="0">
      <pane xSplit="2" topLeftCell="C1" activePane="topRight" state="frozen"/>
      <selection activeCell="F85" sqref="F85"/>
      <selection pane="topRight"/>
    </sheetView>
  </sheetViews>
  <sheetFormatPr defaultColWidth="9.28515625" defaultRowHeight="14.25"/>
  <cols>
    <col min="1" max="1" width="13.28515625" style="111" customWidth="1"/>
    <col min="2" max="2" width="40.140625" style="107" customWidth="1"/>
    <col min="3" max="3" width="21.28515625" style="107" customWidth="1"/>
    <col min="4" max="4" width="17.42578125" style="107" customWidth="1"/>
    <col min="5" max="5" width="14.28515625" style="107" customWidth="1"/>
    <col min="6" max="6" width="13.5703125" style="107" customWidth="1"/>
    <col min="7" max="7" width="9.28515625" style="107" customWidth="1"/>
    <col min="8" max="8" width="17.42578125" style="110" customWidth="1"/>
    <col min="9" max="9" width="9.28515625" style="107" customWidth="1"/>
    <col min="10" max="10" width="8.7109375" style="107" customWidth="1"/>
    <col min="11" max="11" width="11.5703125" style="107" customWidth="1"/>
    <col min="12" max="13" width="8.7109375" style="107" customWidth="1"/>
    <col min="14" max="16" width="15.7109375" style="107" customWidth="1"/>
    <col min="17" max="20" width="8.7109375" style="107" customWidth="1"/>
    <col min="21" max="22" width="15.7109375" style="107" customWidth="1"/>
    <col min="23" max="23" width="15.7109375" style="109" customWidth="1"/>
    <col min="24" max="27" width="10.7109375" style="107" customWidth="1"/>
    <col min="28" max="29" width="15.7109375" style="107" customWidth="1"/>
    <col min="30" max="30" width="15.7109375" style="109" customWidth="1"/>
    <col min="31" max="34" width="8.7109375" style="107" customWidth="1"/>
    <col min="35" max="36" width="15.7109375" style="107" customWidth="1"/>
    <col min="37" max="37" width="15.7109375" style="109" customWidth="1"/>
    <col min="38" max="40" width="8.7109375" style="107" customWidth="1"/>
    <col min="41" max="41" width="9.28515625" style="107" customWidth="1"/>
    <col min="42" max="43" width="15.7109375" style="107" customWidth="1"/>
    <col min="44" max="44" width="15.7109375" style="109" customWidth="1"/>
    <col min="45" max="45" width="9.28515625" style="107" customWidth="1"/>
    <col min="46" max="50" width="17.7109375" style="107" customWidth="1"/>
    <col min="51" max="51" width="9.28515625" style="107" customWidth="1"/>
    <col min="52" max="52" width="20.28515625" style="107" customWidth="1"/>
    <col min="53" max="57" width="17.7109375" style="107" customWidth="1"/>
    <col min="58" max="58" width="9.28515625" style="107" customWidth="1"/>
    <col min="59" max="59" width="18.28515625" style="108" customWidth="1"/>
    <col min="60" max="60" width="18.5703125" style="107" customWidth="1"/>
    <col min="61" max="61" width="23.5703125" style="107" customWidth="1"/>
    <col min="62" max="62" width="15" style="107" customWidth="1"/>
    <col min="63" max="66" width="9.28515625" style="107" customWidth="1"/>
    <col min="67" max="77" width="21.7109375" style="107" customWidth="1"/>
    <col min="78" max="16384" width="9.28515625" style="107"/>
  </cols>
  <sheetData>
    <row r="1" spans="1:77" ht="15" customHeight="1">
      <c r="A1" s="251"/>
      <c r="B1" s="251"/>
      <c r="C1" s="351" t="s">
        <v>195</v>
      </c>
      <c r="F1" s="352"/>
      <c r="BO1" s="247" t="s">
        <v>196</v>
      </c>
      <c r="BP1" s="247"/>
      <c r="BQ1" s="247"/>
      <c r="BR1" s="247"/>
      <c r="BS1" s="247"/>
      <c r="BT1" s="247"/>
      <c r="BU1" s="247"/>
      <c r="BV1" s="247"/>
      <c r="BW1" s="247"/>
      <c r="BX1" s="247"/>
    </row>
    <row r="2" spans="1:77" ht="15" customHeight="1">
      <c r="A2" s="251"/>
      <c r="B2" s="251"/>
      <c r="C2" s="353">
        <v>5.592864339467718E-2</v>
      </c>
      <c r="D2" s="249"/>
      <c r="E2" s="111"/>
      <c r="F2" s="354"/>
      <c r="H2" s="236"/>
      <c r="L2" s="228"/>
      <c r="N2" s="150"/>
      <c r="O2" s="150"/>
      <c r="R2" s="228"/>
      <c r="Y2" s="228"/>
      <c r="AF2" s="228"/>
      <c r="AM2" s="228"/>
    </row>
    <row r="3" spans="1:77" ht="15" customHeight="1">
      <c r="B3" s="251"/>
      <c r="C3" s="355" t="s">
        <v>179</v>
      </c>
      <c r="D3" s="356"/>
      <c r="E3" s="357"/>
      <c r="F3" s="358"/>
      <c r="H3" s="236"/>
      <c r="L3" s="228"/>
      <c r="N3" s="150"/>
      <c r="O3" s="150"/>
      <c r="R3" s="228"/>
      <c r="Y3" s="228"/>
      <c r="AF3" s="228"/>
      <c r="AM3" s="228"/>
      <c r="AT3" s="359" t="s">
        <v>178</v>
      </c>
      <c r="AU3" s="360"/>
      <c r="AV3" s="360"/>
      <c r="AW3" s="360"/>
      <c r="AX3" s="361"/>
      <c r="AZ3" s="246" t="s">
        <v>177</v>
      </c>
      <c r="BI3" s="246" t="s">
        <v>176</v>
      </c>
      <c r="BO3" s="246" t="s">
        <v>173</v>
      </c>
      <c r="BP3" s="247"/>
      <c r="BQ3" s="247"/>
      <c r="BR3" s="247"/>
      <c r="BS3" s="247"/>
      <c r="BT3" s="247"/>
      <c r="BU3" s="247"/>
      <c r="BV3" s="247"/>
      <c r="BW3" s="247"/>
      <c r="BX3" s="247"/>
    </row>
    <row r="4" spans="1:77">
      <c r="B4" s="238"/>
      <c r="C4" s="245">
        <v>0.35</v>
      </c>
      <c r="D4" s="245">
        <v>0.35</v>
      </c>
      <c r="E4" s="245">
        <v>0.15</v>
      </c>
      <c r="F4" s="245">
        <v>0.15</v>
      </c>
      <c r="H4" s="236"/>
      <c r="L4" s="228"/>
      <c r="N4" s="150"/>
      <c r="O4" s="150"/>
      <c r="R4" s="228"/>
      <c r="Y4" s="228"/>
      <c r="AF4" s="228"/>
      <c r="AM4" s="228"/>
      <c r="AT4" s="244"/>
      <c r="AU4" s="244"/>
      <c r="AV4" s="244"/>
      <c r="AW4" s="244"/>
      <c r="AX4" s="244"/>
      <c r="AY4" s="212"/>
      <c r="AZ4" s="243">
        <f>133266168*(1-AY6)</f>
        <v>126602859.59999999</v>
      </c>
      <c r="BA4" s="107" t="s">
        <v>172</v>
      </c>
      <c r="BI4" s="244">
        <v>0.3</v>
      </c>
      <c r="BO4" s="240">
        <f>$BJ$49+AZ6</f>
        <v>12638027.108992519</v>
      </c>
      <c r="BP4" s="239"/>
      <c r="BQ4" s="239"/>
      <c r="BR4" s="239"/>
      <c r="BS4" s="239"/>
      <c r="BT4" s="239"/>
      <c r="BU4" s="241">
        <v>0.3</v>
      </c>
      <c r="BV4" s="239"/>
      <c r="BW4" s="239"/>
      <c r="BX4" s="239"/>
    </row>
    <row r="5" spans="1:77" ht="15" customHeight="1" thickBot="1">
      <c r="A5" s="230" t="s">
        <v>217</v>
      </c>
      <c r="G5" s="362"/>
      <c r="BO5" s="228">
        <v>0.25</v>
      </c>
      <c r="BP5" s="228">
        <v>0.25</v>
      </c>
      <c r="BQ5" s="228">
        <v>0.5</v>
      </c>
    </row>
    <row r="6" spans="1:77" s="212" customFormat="1">
      <c r="A6" s="363"/>
      <c r="B6" s="364"/>
      <c r="C6" s="226" t="s">
        <v>164</v>
      </c>
      <c r="D6" s="225"/>
      <c r="E6" s="225"/>
      <c r="F6" s="225"/>
      <c r="G6" s="224"/>
      <c r="H6" s="365"/>
      <c r="J6" s="221" t="s">
        <v>163</v>
      </c>
      <c r="K6" s="220"/>
      <c r="L6" s="220"/>
      <c r="M6" s="220"/>
      <c r="N6" s="220"/>
      <c r="O6" s="220"/>
      <c r="P6" s="222"/>
      <c r="Q6" s="221" t="s">
        <v>162</v>
      </c>
      <c r="R6" s="220"/>
      <c r="S6" s="220"/>
      <c r="T6" s="220"/>
      <c r="U6" s="220"/>
      <c r="V6" s="220"/>
      <c r="W6" s="222"/>
      <c r="X6" s="221" t="s">
        <v>161</v>
      </c>
      <c r="Y6" s="220"/>
      <c r="Z6" s="220"/>
      <c r="AA6" s="220"/>
      <c r="AB6" s="220"/>
      <c r="AC6" s="220"/>
      <c r="AD6" s="222"/>
      <c r="AE6" s="221" t="s">
        <v>160</v>
      </c>
      <c r="AF6" s="220"/>
      <c r="AG6" s="220"/>
      <c r="AH6" s="220"/>
      <c r="AI6" s="220"/>
      <c r="AJ6" s="220"/>
      <c r="AK6" s="222"/>
      <c r="AL6" s="221" t="s">
        <v>159</v>
      </c>
      <c r="AM6" s="220"/>
      <c r="AN6" s="220"/>
      <c r="AO6" s="220"/>
      <c r="AP6" s="220"/>
      <c r="AQ6" s="220"/>
      <c r="AR6" s="222"/>
      <c r="AX6" s="184" t="s">
        <v>166</v>
      </c>
      <c r="AY6" s="244">
        <v>0.05</v>
      </c>
      <c r="AZ6" s="219">
        <f>133266168*AY6</f>
        <v>6663308.4000000004</v>
      </c>
      <c r="BA6" s="219"/>
      <c r="BB6" s="219"/>
      <c r="BC6" s="219"/>
      <c r="BD6" s="219"/>
      <c r="BG6" s="218"/>
      <c r="BO6" s="217" t="s">
        <v>158</v>
      </c>
      <c r="BP6" s="217"/>
      <c r="BQ6" s="217"/>
      <c r="BR6" s="217"/>
      <c r="BS6" s="217"/>
      <c r="BT6" s="217"/>
      <c r="BU6" s="217"/>
      <c r="BV6" s="217"/>
      <c r="BW6" s="217"/>
      <c r="BX6" s="217"/>
      <c r="BY6" s="217"/>
    </row>
    <row r="7" spans="1:77" s="212" customFormat="1" ht="15" thickBot="1">
      <c r="A7" s="369"/>
      <c r="B7" s="370" t="s">
        <v>199</v>
      </c>
      <c r="C7" s="214">
        <f>C$4</f>
        <v>0.35</v>
      </c>
      <c r="D7" s="214">
        <f>D$4</f>
        <v>0.35</v>
      </c>
      <c r="E7" s="214">
        <f>E$4</f>
        <v>0.15</v>
      </c>
      <c r="F7" s="214">
        <f>F$4</f>
        <v>0.15</v>
      </c>
      <c r="G7" s="214"/>
      <c r="H7" s="371"/>
      <c r="J7" s="209" t="s">
        <v>157</v>
      </c>
      <c r="K7" s="208"/>
      <c r="L7" s="208"/>
      <c r="M7" s="208"/>
      <c r="N7" s="208"/>
      <c r="O7" s="208"/>
      <c r="P7" s="210"/>
      <c r="Q7" s="209" t="s">
        <v>156</v>
      </c>
      <c r="R7" s="208"/>
      <c r="S7" s="208"/>
      <c r="T7" s="208"/>
      <c r="U7" s="208"/>
      <c r="V7" s="208"/>
      <c r="W7" s="210"/>
      <c r="X7" s="209" t="s">
        <v>155</v>
      </c>
      <c r="Y7" s="208"/>
      <c r="Z7" s="208"/>
      <c r="AA7" s="208"/>
      <c r="AB7" s="208"/>
      <c r="AC7" s="208"/>
      <c r="AD7" s="210"/>
      <c r="AE7" s="209" t="s">
        <v>154</v>
      </c>
      <c r="AF7" s="208"/>
      <c r="AG7" s="208"/>
      <c r="AH7" s="208"/>
      <c r="AI7" s="208"/>
      <c r="AJ7" s="208"/>
      <c r="AK7" s="210"/>
      <c r="AL7" s="209" t="s">
        <v>153</v>
      </c>
      <c r="AM7" s="208"/>
      <c r="AN7" s="208"/>
      <c r="AO7" s="208"/>
      <c r="AP7" s="208"/>
      <c r="AQ7" s="208"/>
      <c r="AR7" s="210"/>
      <c r="BG7" s="372" t="s">
        <v>200</v>
      </c>
      <c r="BO7" s="372" t="s">
        <v>201</v>
      </c>
      <c r="BP7" s="372"/>
      <c r="BQ7" s="372"/>
      <c r="BR7" s="372"/>
      <c r="BS7" s="372"/>
      <c r="BT7" s="372"/>
      <c r="BU7" s="372"/>
      <c r="BV7" s="372"/>
      <c r="BW7" s="372"/>
      <c r="BX7" s="372"/>
    </row>
    <row r="8" spans="1:77" s="184" customFormat="1" ht="101.25" customHeight="1">
      <c r="A8" s="373" t="s">
        <v>41</v>
      </c>
      <c r="B8" s="374" t="s">
        <v>202</v>
      </c>
      <c r="C8" s="204" t="s">
        <v>218</v>
      </c>
      <c r="D8" s="203" t="s">
        <v>219</v>
      </c>
      <c r="E8" s="203" t="s">
        <v>220</v>
      </c>
      <c r="F8" s="203" t="s">
        <v>221</v>
      </c>
      <c r="G8" s="203" t="s">
        <v>146</v>
      </c>
      <c r="H8" s="375" t="s">
        <v>145</v>
      </c>
      <c r="J8" s="199">
        <v>2018</v>
      </c>
      <c r="K8" s="199">
        <v>2019</v>
      </c>
      <c r="L8" s="199">
        <v>2021</v>
      </c>
      <c r="M8" s="199">
        <v>2022</v>
      </c>
      <c r="N8" s="198" t="s">
        <v>144</v>
      </c>
      <c r="O8" s="198" t="s">
        <v>143</v>
      </c>
      <c r="P8" s="200" t="s">
        <v>134</v>
      </c>
      <c r="Q8" s="199">
        <v>2018</v>
      </c>
      <c r="R8" s="199">
        <v>2019</v>
      </c>
      <c r="S8" s="199">
        <v>2021</v>
      </c>
      <c r="T8" s="199">
        <v>2022</v>
      </c>
      <c r="U8" s="198" t="s">
        <v>142</v>
      </c>
      <c r="V8" s="198" t="s">
        <v>141</v>
      </c>
      <c r="W8" s="200" t="s">
        <v>134</v>
      </c>
      <c r="X8" s="199">
        <v>2018</v>
      </c>
      <c r="Y8" s="199">
        <v>2019</v>
      </c>
      <c r="Z8" s="199">
        <v>2021</v>
      </c>
      <c r="AA8" s="199">
        <v>2022</v>
      </c>
      <c r="AB8" s="198" t="s">
        <v>140</v>
      </c>
      <c r="AC8" s="198" t="s">
        <v>139</v>
      </c>
      <c r="AD8" s="200" t="s">
        <v>134</v>
      </c>
      <c r="AE8" s="199">
        <v>2018</v>
      </c>
      <c r="AF8" s="199">
        <v>2019</v>
      </c>
      <c r="AG8" s="199">
        <v>2021</v>
      </c>
      <c r="AH8" s="199">
        <v>2022</v>
      </c>
      <c r="AI8" s="198" t="s">
        <v>138</v>
      </c>
      <c r="AJ8" s="198" t="s">
        <v>137</v>
      </c>
      <c r="AK8" s="200" t="s">
        <v>134</v>
      </c>
      <c r="AL8" s="199">
        <v>2018</v>
      </c>
      <c r="AM8" s="199">
        <v>2019</v>
      </c>
      <c r="AN8" s="199">
        <v>2021</v>
      </c>
      <c r="AO8" s="199">
        <v>2022</v>
      </c>
      <c r="AP8" s="198" t="s">
        <v>136</v>
      </c>
      <c r="AQ8" s="198" t="s">
        <v>135</v>
      </c>
      <c r="AR8" s="200" t="s">
        <v>134</v>
      </c>
      <c r="AT8" s="376" t="s">
        <v>133</v>
      </c>
      <c r="AU8" s="195" t="s">
        <v>132</v>
      </c>
      <c r="AV8" s="195" t="s">
        <v>131</v>
      </c>
      <c r="AW8" s="195" t="s">
        <v>130</v>
      </c>
      <c r="AX8" s="377" t="s">
        <v>129</v>
      </c>
      <c r="AZ8" s="378" t="s">
        <v>128</v>
      </c>
      <c r="BA8" s="192" t="s">
        <v>127</v>
      </c>
      <c r="BB8" s="192" t="s">
        <v>126</v>
      </c>
      <c r="BC8" s="192" t="s">
        <v>125</v>
      </c>
      <c r="BD8" s="192" t="s">
        <v>124</v>
      </c>
      <c r="BE8" s="379" t="s">
        <v>207</v>
      </c>
      <c r="BG8" s="380" t="s">
        <v>109</v>
      </c>
      <c r="BH8" s="186" t="s">
        <v>108</v>
      </c>
      <c r="BI8" s="186" t="s">
        <v>107</v>
      </c>
      <c r="BJ8" s="185" t="s">
        <v>106</v>
      </c>
      <c r="BL8" s="547" t="s">
        <v>122</v>
      </c>
      <c r="BM8" s="547" t="s">
        <v>121</v>
      </c>
      <c r="BN8" s="547" t="s">
        <v>120</v>
      </c>
      <c r="BO8" s="189" t="s">
        <v>105</v>
      </c>
      <c r="BP8" s="187" t="s">
        <v>119</v>
      </c>
      <c r="BQ8" s="187" t="s">
        <v>118</v>
      </c>
      <c r="BR8" s="187" t="s">
        <v>117</v>
      </c>
      <c r="BS8" s="187" t="s">
        <v>116</v>
      </c>
      <c r="BT8" s="187" t="s">
        <v>115</v>
      </c>
      <c r="BU8" s="188" t="s">
        <v>114</v>
      </c>
      <c r="BV8" s="188" t="s">
        <v>113</v>
      </c>
      <c r="BW8" s="187" t="s">
        <v>112</v>
      </c>
      <c r="BX8" s="187" t="s">
        <v>111</v>
      </c>
      <c r="BY8" s="187" t="s">
        <v>110</v>
      </c>
    </row>
    <row r="9" spans="1:77">
      <c r="A9" s="381" t="s">
        <v>49</v>
      </c>
      <c r="B9" s="382" t="s">
        <v>60</v>
      </c>
      <c r="C9" s="179">
        <f>'Sizing - Reim Exp_FY2024'!B3</f>
        <v>2305461</v>
      </c>
      <c r="D9" s="178">
        <f>Ridership_FY2024!$E3</f>
        <v>97489</v>
      </c>
      <c r="E9" s="178">
        <f>'Revenue Hours_FY2024'!$F3</f>
        <v>30762</v>
      </c>
      <c r="F9" s="178">
        <f>'Revenue Miles_FY2024'!$F3</f>
        <v>634178</v>
      </c>
      <c r="G9" s="383">
        <f t="shared" ref="G9:G31" si="0">IFERROR($C$7*(C9/C$49),0) + IFERROR($D$7*(D9/D$49),0) + IFERROR($E$7*(E9/E$49),0) + IFERROR($F$7*(F9/F$49),0)</f>
        <v>5.2206751275610704E-3</v>
      </c>
      <c r="H9" s="384">
        <f t="shared" ref="H9:H31" si="1">G9/(SUM($G$9:$G$48)-$G$32)*(1-$G$32)</f>
        <v>4.9286898500722444E-3</v>
      </c>
      <c r="J9" s="385">
        <f>Ridership_FY2024!B3/'Revenue Hours_FY2024'!C3</f>
        <v>4.2981751308530205</v>
      </c>
      <c r="K9" s="386">
        <f>Ridership_FY2024!C3/'Revenue Hours_FY2024'!D3</f>
        <v>4.5693508022964817</v>
      </c>
      <c r="L9" s="386">
        <f>Ridership_FY2024!D3/'Revenue Hours_FY2024'!E3</f>
        <v>3.0233116215289679</v>
      </c>
      <c r="M9" s="386">
        <f>Ridership_FY2024!E3/'Revenue Hours_FY2024'!F3</f>
        <v>3.1691372472531043</v>
      </c>
      <c r="N9" s="387">
        <f t="shared" ref="N9:N48" si="2">IF(J9=0,IF(K9=0,1,AVERAGE(1,(L9/K9)/($L$49/$K$49),(M9/L9)/($M$49/$L$49))), AVERAGE((K9/J9)/($K$49/$J$49),(L9/K9)/($L$49/$K$49),(M9/L9)/($M$49/$L$49)))</f>
        <v>1.056331491706916</v>
      </c>
      <c r="O9" s="388">
        <f t="shared" ref="O9:O48" si="3">$H9*N9</f>
        <v>5.2063303014875497E-3</v>
      </c>
      <c r="P9" s="389">
        <f t="shared" ref="P9:P48" si="4">O9/SUM($O$9:$O$48)</f>
        <v>4.9956358730186903E-3</v>
      </c>
      <c r="Q9" s="385">
        <f>Ridership_FY2024!B3/'Revenue Miles_FY2024'!C3</f>
        <v>0.20104759295799438</v>
      </c>
      <c r="R9" s="386">
        <f>Ridership_FY2024!C3/'Revenue Miles_FY2024'!D3</f>
        <v>0.21529352848722441</v>
      </c>
      <c r="S9" s="386">
        <f>Ridership_FY2024!D3/'Revenue Miles_FY2024'!E3</f>
        <v>0.1472857600940598</v>
      </c>
      <c r="T9" s="386">
        <f>Ridership_FY2024!E3/'Revenue Miles_FY2024'!F3</f>
        <v>0.15372497942218116</v>
      </c>
      <c r="U9" s="387">
        <f t="shared" ref="U9:U48" si="5">IF(Q9=0,IF(R9=0,1,AVERAGE(1,(S9/R9)/($S$49/$R$49),(T9/S9)/($T$49/$S$49))), AVERAGE((R9/Q9)/($R$49/$Q$49),(S9/R9)/($S$49/$R$49),(T9/S9)/($T$49/$S$49)))</f>
        <v>1.0746120182687253</v>
      </c>
      <c r="V9" s="388">
        <f t="shared" ref="V9:V48" si="6">$H9*U9</f>
        <v>5.2964293472067157E-3</v>
      </c>
      <c r="W9" s="389">
        <f t="shared" ref="W9:W48" si="7">V9/SUM($V$9:$V$48)</f>
        <v>5.0995686203485213E-3</v>
      </c>
      <c r="X9" s="385">
        <f>'Op Cost_FY2024'!B3/'Revenue Hours_FY2024'!C3</f>
        <v>46.229197906351679</v>
      </c>
      <c r="Y9" s="386">
        <f>'Op Cost_FY2024'!C3/'Revenue Hours_FY2024'!D3</f>
        <v>50.181245399676136</v>
      </c>
      <c r="Z9" s="386">
        <f>'Op Cost_FY2024'!D3/'Revenue Hours_FY2024'!E3</f>
        <v>64.628076791223862</v>
      </c>
      <c r="AA9" s="386">
        <f>'Op Cost_FY2024'!E3/'Revenue Hours_FY2024'!F3</f>
        <v>74.945094597230351</v>
      </c>
      <c r="AB9" s="387">
        <f t="shared" ref="AB9:AB48" si="8">IF(X9=0,IF(Y9=0,1,AVERAGE(1,(Z9/Y9)/($Z$49/$Z$49),(AA9/Z9)/($AA$49/$Z$49))), AVERAGE((Y9/X9)/($Y$49/$X$49),(Z9/Y9)/($Z$49/$Y$49),(AA9/Z9)/($AA$49/$Z$49)))</f>
        <v>1.0923828812408631</v>
      </c>
      <c r="AC9" s="388">
        <f t="shared" ref="AC9:AC48" si="9">$H9*(1/AB9)</f>
        <v>4.5118702743433981E-3</v>
      </c>
      <c r="AD9" s="389">
        <f t="shared" ref="AD9:AD48" si="10">AC9/SUM($AC$9:$AC$48)</f>
        <v>4.5370158066320538E-3</v>
      </c>
      <c r="AE9" s="385">
        <f>'Op Cost_FY2024'!B3/'Revenue Miles_FY2024'!C3</f>
        <v>2.1623755851023705</v>
      </c>
      <c r="AF9" s="386">
        <f>'Op Cost_FY2024'!C3/'Revenue Miles_FY2024'!D3</f>
        <v>2.3643834438252824</v>
      </c>
      <c r="AG9" s="386">
        <f>'Op Cost_FY2024'!D3/'Revenue Miles_FY2024'!E3</f>
        <v>3.148466517916789</v>
      </c>
      <c r="AH9" s="386">
        <f>'Op Cost_FY2024'!E3/'Revenue Miles_FY2024'!F3</f>
        <v>3.6353531658304137</v>
      </c>
      <c r="AI9" s="387">
        <f t="shared" ref="AI9:AI48" si="11">IF(AE9=0,IF(AF9=0,1,AVERAGE(1,(AG9/AF9)/($AG$49/$AF$49),(AH9/AG9)/($AH$49/$AG$49))), AVERAGE((AF9/AE9)/($AF$49/$AE$49),(AG9/AF9)/($AG$49/$AF$49),(AH9/AG9)/($AH$49/$AG$49)))</f>
        <v>1.1114980012916114</v>
      </c>
      <c r="AJ9" s="388">
        <f t="shared" ref="AJ9:AJ48" si="12">$H9*(1/AI9)</f>
        <v>4.4342768447130651E-3</v>
      </c>
      <c r="AK9" s="389">
        <f t="shared" ref="AK9:AK48" si="13">AJ9/SUM($AJ$9:$AJ$48)</f>
        <v>4.4392884314067172E-3</v>
      </c>
      <c r="AL9" s="385">
        <f>'Op Cost_FY2024'!B3/Ridership_FY2024!B3</f>
        <v>10.755540781600722</v>
      </c>
      <c r="AM9" s="386">
        <f>'Op Cost_FY2024'!C3/Ridership_FY2024!C3</f>
        <v>10.982138945089499</v>
      </c>
      <c r="AN9" s="386">
        <f>'Op Cost_FY2024'!D3/Ridership_FY2024!D3</f>
        <v>21.37658464678535</v>
      </c>
      <c r="AO9" s="386">
        <f>'Op Cost_FY2024'!E3/Ridership_FY2024!E3</f>
        <v>23.64842187323698</v>
      </c>
      <c r="AP9" s="390">
        <f t="shared" ref="AP9:AP48" si="14">IF(AL9=0,IF(AM9=0,1,AVERAGE(1,(AN9/AM9)/($AN$49/$AM$49),(AO9/AN9)/($AO$49/$AN$49))), AVERAGE((AM9/AL9)/($AM$49/$AL$49),(AN9/AM9)/($AN$49/$AM$49),(AO9/AN9)/($AO$49/$AN$49)))</f>
        <v>1.0797154331714658</v>
      </c>
      <c r="AQ9" s="388">
        <f t="shared" ref="AQ9:AQ48" si="15">$H9*(1/AP9)</f>
        <v>4.5648044833397653E-3</v>
      </c>
      <c r="AR9" s="389">
        <f t="shared" ref="AR9:AR48" si="16">AQ9/SUM($AQ$9:$AQ$48)</f>
        <v>4.8324323155224894E-3</v>
      </c>
      <c r="AT9" s="391">
        <f>P9*AT$4</f>
        <v>0</v>
      </c>
      <c r="AU9" s="392">
        <f t="shared" ref="AU9:AU48" si="17">W9*AU$4</f>
        <v>0</v>
      </c>
      <c r="AV9" s="392">
        <f t="shared" ref="AV9:AV48" si="18">AD9*AV$4</f>
        <v>0</v>
      </c>
      <c r="AW9" s="392">
        <f t="shared" ref="AW9:AW48" si="19">AK9*AW$4</f>
        <v>0</v>
      </c>
      <c r="AX9" s="393">
        <f t="shared" ref="AX9:AX48" si="20">AR9*AX$4</f>
        <v>0</v>
      </c>
      <c r="AY9" s="368">
        <f>(SUM(AT9:AX9)-H9)/H9</f>
        <v>-1</v>
      </c>
      <c r="AZ9" s="394">
        <f t="shared" ref="AZ9:BD49" si="21">AT9*$AZ$4</f>
        <v>0</v>
      </c>
      <c r="BA9" s="395">
        <f t="shared" si="21"/>
        <v>0</v>
      </c>
      <c r="BB9" s="395">
        <f t="shared" si="21"/>
        <v>0</v>
      </c>
      <c r="BC9" s="395">
        <f t="shared" si="21"/>
        <v>0</v>
      </c>
      <c r="BD9" s="395">
        <f t="shared" si="21"/>
        <v>0</v>
      </c>
      <c r="BE9" s="396">
        <f>IF(SUM(AZ9:BD9)=0,$AZ$4*H9,SUM(AZ9:BD9))</f>
        <v>623986.22910064133</v>
      </c>
      <c r="BG9" s="397">
        <f>'Op Cost_FY2024'!E3</f>
        <v>2305461</v>
      </c>
      <c r="BH9" s="398">
        <f t="shared" ref="BH9:BH48" si="22">BE9/BG9</f>
        <v>0.27065572963526224</v>
      </c>
      <c r="BI9" s="399">
        <f t="shared" ref="BI9:BI48" si="23">IF(BE9&gt;BG9*$BI$4,BG9*$BI$4,BE9)</f>
        <v>623986.22910064133</v>
      </c>
      <c r="BJ9" s="400">
        <f t="shared" ref="BJ9:BJ48" si="24">BE9-BI9</f>
        <v>0</v>
      </c>
      <c r="BL9" s="548">
        <f>M9/$M$49</f>
        <v>0.35395106686820826</v>
      </c>
      <c r="BM9" s="548">
        <f>T9/$T$49</f>
        <v>0.24801697306577913</v>
      </c>
      <c r="BN9" s="549">
        <f>(1/AO9)/(1/$AO$49)</f>
        <v>0.59616095198399732</v>
      </c>
      <c r="BO9" s="155">
        <f t="shared" ref="BO9:BO48" si="25">IF(OR(BJ9&gt;0,BH9&gt;=0.294),0,BI9)</f>
        <v>623986.22910064133</v>
      </c>
      <c r="BP9" s="154">
        <f>(BL9*$BO$5+BM9*$BP$5+BN9*$BQ$5)*H9</f>
        <v>2.2108746586490986E-3</v>
      </c>
      <c r="BQ9" s="153">
        <f>IF(BO9=0,0,BP9)</f>
        <v>2.2108746586490986E-3</v>
      </c>
      <c r="BR9" s="152">
        <f>BQ9/$BQ$49</f>
        <v>3.6915557871325271E-3</v>
      </c>
      <c r="BS9" s="151">
        <f>$BO$4*BR9+BI9</f>
        <v>670640.21121278044</v>
      </c>
      <c r="BT9" s="540">
        <f>BG9*$BU$4</f>
        <v>691638.29999999993</v>
      </c>
      <c r="BU9" s="540">
        <f>IF(BS9&lt;=BT9,BS9,BT9)</f>
        <v>670640.21121278044</v>
      </c>
      <c r="BV9" s="540">
        <f>BS9-BU9</f>
        <v>0</v>
      </c>
      <c r="BW9" s="541">
        <f>IF(AND(BV9=0, BJ9=0),BP9,0)</f>
        <v>2.2108746586490986E-3</v>
      </c>
      <c r="BX9" s="542">
        <f>IF($BW$49=0,1,BW9/$BW$49)</f>
        <v>4.9944983669987404E-3</v>
      </c>
      <c r="BY9" s="543">
        <f>$BV$49*BX9+BU9</f>
        <v>682168.81132677174</v>
      </c>
    </row>
    <row r="10" spans="1:77">
      <c r="A10" s="403" t="s">
        <v>49</v>
      </c>
      <c r="B10" s="382" t="s">
        <v>61</v>
      </c>
      <c r="C10" s="179">
        <f>'Sizing - Reim Exp_FY2024'!B4</f>
        <v>453078</v>
      </c>
      <c r="D10" s="178">
        <f>Ridership_FY2024!$E4</f>
        <v>35313</v>
      </c>
      <c r="E10" s="178">
        <f>'Revenue Hours_FY2024'!$F4</f>
        <v>7303</v>
      </c>
      <c r="F10" s="178">
        <f>'Revenue Miles_FY2024'!$F4</f>
        <v>84107</v>
      </c>
      <c r="G10" s="404">
        <f t="shared" si="0"/>
        <v>1.1166701187662106E-3</v>
      </c>
      <c r="H10" s="384">
        <f t="shared" si="1"/>
        <v>1.054216273904243E-3</v>
      </c>
      <c r="J10" s="385">
        <f>Ridership_FY2024!B4/'Revenue Hours_FY2024'!C4</f>
        <v>7.2127544097693352</v>
      </c>
      <c r="K10" s="386">
        <f>Ridership_FY2024!C4/'Revenue Hours_FY2024'!D4</f>
        <v>7.0756269072575293</v>
      </c>
      <c r="L10" s="386">
        <f>Ridership_FY2024!D4/'Revenue Hours_FY2024'!E4</f>
        <v>3.8435006435006436</v>
      </c>
      <c r="M10" s="386">
        <f>Ridership_FY2024!E4/'Revenue Hours_FY2024'!F4</f>
        <v>4.8354101054361225</v>
      </c>
      <c r="N10" s="387">
        <f t="shared" si="2"/>
        <v>1.0062847146966858</v>
      </c>
      <c r="O10" s="388">
        <f t="shared" si="3"/>
        <v>1.0608417224143344E-3</v>
      </c>
      <c r="P10" s="389">
        <f t="shared" si="4"/>
        <v>1.0179106313277495E-3</v>
      </c>
      <c r="Q10" s="385">
        <f>Ridership_FY2024!B4/'Revenue Miles_FY2024'!C4</f>
        <v>0.593228283189001</v>
      </c>
      <c r="R10" s="386">
        <f>Ridership_FY2024!C4/'Revenue Miles_FY2024'!D4</f>
        <v>0.61203433791631279</v>
      </c>
      <c r="S10" s="386">
        <f>Ridership_FY2024!D4/'Revenue Miles_FY2024'!E4</f>
        <v>0.31931227680003421</v>
      </c>
      <c r="T10" s="386">
        <f>Ridership_FY2024!E4/'Revenue Miles_FY2024'!F4</f>
        <v>0.41985803797543603</v>
      </c>
      <c r="U10" s="387">
        <f t="shared" si="5"/>
        <v>1.029481442041561</v>
      </c>
      <c r="V10" s="388">
        <f t="shared" si="6"/>
        <v>1.0852960898826214E-3</v>
      </c>
      <c r="W10" s="389">
        <f t="shared" si="7"/>
        <v>1.0449571817041658E-3</v>
      </c>
      <c r="X10" s="385">
        <f>'Op Cost_FY2024'!B4/'Revenue Hours_FY2024'!C4</f>
        <v>55.602306648575308</v>
      </c>
      <c r="Y10" s="386">
        <f>'Op Cost_FY2024'!C4/'Revenue Hours_FY2024'!D4</f>
        <v>54.185219583388616</v>
      </c>
      <c r="Z10" s="386">
        <f>'Op Cost_FY2024'!D4/'Revenue Hours_FY2024'!E4</f>
        <v>108.14491634491634</v>
      </c>
      <c r="AA10" s="386">
        <f>'Op Cost_FY2024'!E4/'Revenue Hours_FY2024'!F4</f>
        <v>62.039983568396551</v>
      </c>
      <c r="AB10" s="387">
        <f t="shared" si="8"/>
        <v>1.0544549449941367</v>
      </c>
      <c r="AC10" s="388">
        <f t="shared" si="9"/>
        <v>9.9977365453969677E-4</v>
      </c>
      <c r="AD10" s="389">
        <f t="shared" si="10"/>
        <v>1.0053455879471204E-3</v>
      </c>
      <c r="AE10" s="385">
        <f>'Op Cost_FY2024'!B4/'Revenue Miles_FY2024'!C4</f>
        <v>4.5731296312829208</v>
      </c>
      <c r="AF10" s="386">
        <f>'Op Cost_FY2024'!C4/'Revenue Miles_FY2024'!D4</f>
        <v>4.6869649046296509</v>
      </c>
      <c r="AG10" s="386">
        <f>'Op Cost_FY2024'!D4/'Revenue Miles_FY2024'!E4</f>
        <v>8.9845176742296253</v>
      </c>
      <c r="AH10" s="386">
        <f>'Op Cost_FY2024'!E4/'Revenue Miles_FY2024'!F4</f>
        <v>5.3869237994459436</v>
      </c>
      <c r="AI10" s="387">
        <f t="shared" si="11"/>
        <v>1.0572322657484516</v>
      </c>
      <c r="AJ10" s="388">
        <f t="shared" si="12"/>
        <v>9.9714727601311567E-4</v>
      </c>
      <c r="AK10" s="389">
        <f t="shared" si="13"/>
        <v>9.9827424444451536E-4</v>
      </c>
      <c r="AL10" s="385">
        <f>'Op Cost_FY2024'!B4/Ridership_FY2024!B4</f>
        <v>7.7088867150758116</v>
      </c>
      <c r="AM10" s="386">
        <f>'Op Cost_FY2024'!C4/Ridership_FY2024!C4</f>
        <v>7.6580097132892044</v>
      </c>
      <c r="AN10" s="386">
        <f>'Op Cost_FY2024'!D4/Ridership_FY2024!D4</f>
        <v>28.137088132869007</v>
      </c>
      <c r="AO10" s="386">
        <f>'Op Cost_FY2024'!E4/Ridership_FY2024!E4</f>
        <v>12.830345765015716</v>
      </c>
      <c r="AP10" s="390">
        <f t="shared" si="14"/>
        <v>1.0343360813707996</v>
      </c>
      <c r="AQ10" s="388">
        <f t="shared" si="15"/>
        <v>1.0192202446492019E-3</v>
      </c>
      <c r="AR10" s="389">
        <f t="shared" si="16"/>
        <v>1.0789756417506002E-3</v>
      </c>
      <c r="AT10" s="391">
        <f t="shared" ref="AT10:AT48" si="26">P10*AT$4</f>
        <v>0</v>
      </c>
      <c r="AU10" s="392">
        <f t="shared" si="17"/>
        <v>0</v>
      </c>
      <c r="AV10" s="392">
        <f t="shared" si="18"/>
        <v>0</v>
      </c>
      <c r="AW10" s="392">
        <f t="shared" si="19"/>
        <v>0</v>
      </c>
      <c r="AX10" s="393">
        <f t="shared" si="20"/>
        <v>0</v>
      </c>
      <c r="AY10" s="368">
        <f t="shared" ref="AY10:AY48" si="27">(SUM(AT10:AX10)-H10)/H10</f>
        <v>-1</v>
      </c>
      <c r="AZ10" s="394">
        <f t="shared" si="21"/>
        <v>0</v>
      </c>
      <c r="BA10" s="395">
        <f t="shared" si="21"/>
        <v>0</v>
      </c>
      <c r="BB10" s="395">
        <f t="shared" si="21"/>
        <v>0</v>
      </c>
      <c r="BC10" s="395">
        <f t="shared" si="21"/>
        <v>0</v>
      </c>
      <c r="BD10" s="395">
        <f t="shared" si="21"/>
        <v>0</v>
      </c>
      <c r="BE10" s="396">
        <f t="shared" ref="BE10:BE48" si="28">IF(SUM(AZ10:BD10)=0,$AZ$4*H10,SUM(AZ10:BD10))</f>
        <v>133466.79491313401</v>
      </c>
      <c r="BG10" s="397">
        <f>'Op Cost_FY2024'!E4</f>
        <v>453078</v>
      </c>
      <c r="BH10" s="398">
        <f t="shared" si="22"/>
        <v>0.29457796430886957</v>
      </c>
      <c r="BI10" s="399">
        <f t="shared" si="23"/>
        <v>133466.79491313401</v>
      </c>
      <c r="BJ10" s="400">
        <f t="shared" si="24"/>
        <v>0</v>
      </c>
      <c r="BL10" s="548">
        <f t="shared" ref="BL10:BL48" si="29">M10/$M$49</f>
        <v>0.54005189174053514</v>
      </c>
      <c r="BM10" s="548">
        <f t="shared" ref="BM10:BM48" si="30">T10/$T$49</f>
        <v>0.6773910140525885</v>
      </c>
      <c r="BN10" s="549">
        <f t="shared" ref="BN10:BN48" si="31">(1/AO10)/(1/$AO$49)</f>
        <v>1.0988219612373693</v>
      </c>
      <c r="BO10" s="155">
        <f t="shared" si="25"/>
        <v>0</v>
      </c>
      <c r="BP10" s="154">
        <f t="shared" ref="BP10:BP48" si="32">(BL10*$BO$5+BM10*$BP$5+BN10*$BQ$5)*H10</f>
        <v>9.000600277890013E-4</v>
      </c>
      <c r="BQ10" s="153">
        <f t="shared" ref="BQ10:BQ48" si="33">IF(BO10=0,0,BP10)</f>
        <v>0</v>
      </c>
      <c r="BR10" s="152">
        <f t="shared" ref="BR10:BR48" si="34">BQ10/$BQ$49</f>
        <v>0</v>
      </c>
      <c r="BS10" s="151">
        <f t="shared" ref="BS10:BS48" si="35">$BO$4*BR10+BI10</f>
        <v>133466.79491313401</v>
      </c>
      <c r="BT10" s="540">
        <f t="shared" ref="BT10:BT48" si="36">BG10*$BU$4</f>
        <v>135923.4</v>
      </c>
      <c r="BU10" s="540">
        <f t="shared" ref="BU10:BU48" si="37">IF(BS10&lt;=BT10,BS10,BT10)</f>
        <v>133466.79491313401</v>
      </c>
      <c r="BV10" s="540">
        <f>BS10-BU10</f>
        <v>0</v>
      </c>
      <c r="BW10" s="541">
        <f t="shared" ref="BW10:BW48" si="38">IF(AND(BV10=0, BJ10=0),BP10,0)</f>
        <v>9.000600277890013E-4</v>
      </c>
      <c r="BX10" s="542">
        <f t="shared" ref="BX10:BX48" si="39">IF($BW$49=0,1,BW10/$BW$49)</f>
        <v>2.0332895496390471E-3</v>
      </c>
      <c r="BY10" s="543">
        <f t="shared" ref="BY10:BY48" si="40">$BV$49*BX10+BU10</f>
        <v>138160.15556945791</v>
      </c>
    </row>
    <row r="11" spans="1:77">
      <c r="A11" s="403" t="s">
        <v>49</v>
      </c>
      <c r="B11" s="382" t="s">
        <v>62</v>
      </c>
      <c r="C11" s="179">
        <f>'Sizing - Reim Exp_FY2024'!B5</f>
        <v>2625058</v>
      </c>
      <c r="D11" s="178">
        <f>Ridership_FY2024!$E5</f>
        <v>135181</v>
      </c>
      <c r="E11" s="178">
        <f>'Revenue Hours_FY2024'!$F5</f>
        <v>44776</v>
      </c>
      <c r="F11" s="178">
        <f>'Revenue Miles_FY2024'!$F5</f>
        <v>440288</v>
      </c>
      <c r="G11" s="383">
        <f t="shared" si="0"/>
        <v>5.8134443520933086E-3</v>
      </c>
      <c r="H11" s="384">
        <f t="shared" si="1"/>
        <v>5.4883062960302794E-3</v>
      </c>
      <c r="J11" s="385">
        <f>Ridership_FY2024!B5/'Revenue Hours_FY2024'!C5</f>
        <v>3.509629413481179</v>
      </c>
      <c r="K11" s="386">
        <f>Ridership_FY2024!C5/'Revenue Hours_FY2024'!D5</f>
        <v>3.5903165735567972</v>
      </c>
      <c r="L11" s="386">
        <f>Ridership_FY2024!D5/'Revenue Hours_FY2024'!E5</f>
        <v>3.0037184124655352</v>
      </c>
      <c r="M11" s="386">
        <f>Ridership_FY2024!E5/'Revenue Hours_FY2024'!F5</f>
        <v>3.0190503841343577</v>
      </c>
      <c r="N11" s="387">
        <f t="shared" si="2"/>
        <v>1.1452766111970489</v>
      </c>
      <c r="O11" s="388">
        <f t="shared" si="3"/>
        <v>6.2856288359289863E-3</v>
      </c>
      <c r="P11" s="389">
        <f t="shared" si="4"/>
        <v>6.0312563896062757E-3</v>
      </c>
      <c r="Q11" s="385">
        <f>Ridership_FY2024!B5/'Revenue Miles_FY2024'!C5</f>
        <v>0.34036493443752919</v>
      </c>
      <c r="R11" s="386">
        <f>Ridership_FY2024!C5/'Revenue Miles_FY2024'!D5</f>
        <v>0.34236028901498144</v>
      </c>
      <c r="S11" s="386">
        <f>Ridership_FY2024!D5/'Revenue Miles_FY2024'!E5</f>
        <v>0.30898734605406614</v>
      </c>
      <c r="T11" s="386">
        <f>Ridership_FY2024!E5/'Revenue Miles_FY2024'!F5</f>
        <v>0.30702858129224508</v>
      </c>
      <c r="U11" s="387">
        <f t="shared" si="5"/>
        <v>1.179074556111199</v>
      </c>
      <c r="V11" s="388">
        <f t="shared" si="6"/>
        <v>6.4711223097942009E-3</v>
      </c>
      <c r="W11" s="389">
        <f t="shared" si="7"/>
        <v>6.2305999204667166E-3</v>
      </c>
      <c r="X11" s="385">
        <f>'Op Cost_FY2024'!B5/'Revenue Hours_FY2024'!C5</f>
        <v>41.66076118220851</v>
      </c>
      <c r="Y11" s="386">
        <f>'Op Cost_FY2024'!C5/'Revenue Hours_FY2024'!D5</f>
        <v>45.864958582161435</v>
      </c>
      <c r="Z11" s="386">
        <f>'Op Cost_FY2024'!D5/'Revenue Hours_FY2024'!E5</f>
        <v>61.145979308425872</v>
      </c>
      <c r="AA11" s="386">
        <f>'Op Cost_FY2024'!E5/'Revenue Hours_FY2024'!F5</f>
        <v>58.62645167053779</v>
      </c>
      <c r="AB11" s="387">
        <f t="shared" si="8"/>
        <v>1.0429873193694781</v>
      </c>
      <c r="AC11" s="388">
        <f t="shared" si="9"/>
        <v>5.2621026105553713E-3</v>
      </c>
      <c r="AD11" s="389">
        <f t="shared" si="10"/>
        <v>5.2914293338551001E-3</v>
      </c>
      <c r="AE11" s="385">
        <f>'Op Cost_FY2024'!B5/'Revenue Miles_FY2024'!C5</f>
        <v>4.0402733673054803</v>
      </c>
      <c r="AF11" s="386">
        <f>'Op Cost_FY2024'!C5/'Revenue Miles_FY2024'!D5</f>
        <v>4.3735253296321996</v>
      </c>
      <c r="AG11" s="386">
        <f>'Op Cost_FY2024'!D5/'Revenue Miles_FY2024'!E5</f>
        <v>6.2899817073329398</v>
      </c>
      <c r="AH11" s="386">
        <f>'Op Cost_FY2024'!E5/'Revenue Miles_FY2024'!F5</f>
        <v>5.9621384184897162</v>
      </c>
      <c r="AI11" s="387">
        <f t="shared" si="11"/>
        <v>1.0661071555891768</v>
      </c>
      <c r="AJ11" s="388">
        <f t="shared" si="12"/>
        <v>5.1479874863021675E-3</v>
      </c>
      <c r="AK11" s="389">
        <f t="shared" si="13"/>
        <v>5.1538057034520952E-3</v>
      </c>
      <c r="AL11" s="385">
        <f>'Op Cost_FY2024'!B5/Ridership_FY2024!B5</f>
        <v>11.87041601092734</v>
      </c>
      <c r="AM11" s="386">
        <f>'Op Cost_FY2024'!C5/Ridership_FY2024!C5</f>
        <v>12.774627986836457</v>
      </c>
      <c r="AN11" s="386">
        <f>'Op Cost_FY2024'!D5/Ridership_FY2024!D5</f>
        <v>20.356761490913378</v>
      </c>
      <c r="AO11" s="386">
        <f>'Op Cost_FY2024'!E5/Ridership_FY2024!E5</f>
        <v>19.418838446231348</v>
      </c>
      <c r="AP11" s="390">
        <f t="shared" si="14"/>
        <v>0.98287116513299766</v>
      </c>
      <c r="AQ11" s="388">
        <f t="shared" si="15"/>
        <v>5.5839529032145592E-3</v>
      </c>
      <c r="AR11" s="389">
        <f t="shared" si="16"/>
        <v>5.911331921516866E-3</v>
      </c>
      <c r="AT11" s="391">
        <f t="shared" si="26"/>
        <v>0</v>
      </c>
      <c r="AU11" s="392">
        <f t="shared" si="17"/>
        <v>0</v>
      </c>
      <c r="AV11" s="392">
        <f t="shared" si="18"/>
        <v>0</v>
      </c>
      <c r="AW11" s="392">
        <f t="shared" si="19"/>
        <v>0</v>
      </c>
      <c r="AX11" s="393">
        <f t="shared" si="20"/>
        <v>0</v>
      </c>
      <c r="AY11" s="368">
        <f t="shared" si="27"/>
        <v>-1</v>
      </c>
      <c r="AZ11" s="394">
        <f t="shared" si="21"/>
        <v>0</v>
      </c>
      <c r="BA11" s="395">
        <f t="shared" si="21"/>
        <v>0</v>
      </c>
      <c r="BB11" s="395">
        <f t="shared" si="21"/>
        <v>0</v>
      </c>
      <c r="BC11" s="395">
        <f t="shared" si="21"/>
        <v>0</v>
      </c>
      <c r="BD11" s="395">
        <f t="shared" si="21"/>
        <v>0</v>
      </c>
      <c r="BE11" s="396">
        <f t="shared" si="28"/>
        <v>694835.27143811749</v>
      </c>
      <c r="BG11" s="397">
        <f>'Op Cost_FY2024'!E5</f>
        <v>2625058</v>
      </c>
      <c r="BH11" s="398">
        <f t="shared" si="22"/>
        <v>0.2646933025625024</v>
      </c>
      <c r="BI11" s="399">
        <f t="shared" si="23"/>
        <v>694835.27143811749</v>
      </c>
      <c r="BJ11" s="400">
        <f t="shared" si="24"/>
        <v>0</v>
      </c>
      <c r="BL11" s="548">
        <f t="shared" si="29"/>
        <v>0.33718833266670639</v>
      </c>
      <c r="BM11" s="548">
        <f t="shared" si="30"/>
        <v>0.49535410356214105</v>
      </c>
      <c r="BN11" s="549">
        <f t="shared" si="31"/>
        <v>0.7260097320395712</v>
      </c>
      <c r="BO11" s="155">
        <f t="shared" si="25"/>
        <v>694835.27143811749</v>
      </c>
      <c r="BP11" s="154">
        <f t="shared" si="32"/>
        <v>3.1345938652828104E-3</v>
      </c>
      <c r="BQ11" s="153">
        <f t="shared" si="33"/>
        <v>3.1345938652828104E-3</v>
      </c>
      <c r="BR11" s="152">
        <f t="shared" si="34"/>
        <v>5.2339141336783775E-3</v>
      </c>
      <c r="BS11" s="151">
        <f t="shared" si="35"/>
        <v>760981.62014568388</v>
      </c>
      <c r="BT11" s="540">
        <f t="shared" si="36"/>
        <v>787517.4</v>
      </c>
      <c r="BU11" s="540">
        <f t="shared" si="37"/>
        <v>760981.62014568388</v>
      </c>
      <c r="BV11" s="540">
        <f t="shared" ref="BV11:BV48" si="41">BS11-BU11</f>
        <v>0</v>
      </c>
      <c r="BW11" s="541">
        <f t="shared" si="38"/>
        <v>3.1345938652828104E-3</v>
      </c>
      <c r="BX11" s="542">
        <f t="shared" si="39"/>
        <v>7.0812354197072923E-3</v>
      </c>
      <c r="BY11" s="543">
        <f t="shared" si="40"/>
        <v>777326.95164208661</v>
      </c>
    </row>
    <row r="12" spans="1:77">
      <c r="A12" s="403" t="s">
        <v>49</v>
      </c>
      <c r="B12" s="382" t="s">
        <v>63</v>
      </c>
      <c r="C12" s="179">
        <f>'Sizing - Reim Exp_FY2024'!B6</f>
        <v>2162547</v>
      </c>
      <c r="D12" s="178">
        <f>Ridership_FY2024!$E6</f>
        <v>100658</v>
      </c>
      <c r="E12" s="178">
        <f>'Revenue Hours_FY2024'!$F6</f>
        <v>40013</v>
      </c>
      <c r="F12" s="178">
        <f>'Revenue Miles_FY2024'!$F6</f>
        <v>639628</v>
      </c>
      <c r="G12" s="383">
        <f t="shared" si="0"/>
        <v>5.4740808853634198E-3</v>
      </c>
      <c r="H12" s="384">
        <f t="shared" si="1"/>
        <v>5.1679229676123081E-3</v>
      </c>
      <c r="J12" s="385">
        <f>Ridership_FY2024!B6/'Revenue Hours_FY2024'!C6</f>
        <v>1.7480527968917374</v>
      </c>
      <c r="K12" s="386">
        <f>Ridership_FY2024!C6/'Revenue Hours_FY2024'!D6</f>
        <v>1.8670980965213595</v>
      </c>
      <c r="L12" s="386">
        <f>Ridership_FY2024!D6/'Revenue Hours_FY2024'!E6</f>
        <v>1.3455313359222201</v>
      </c>
      <c r="M12" s="386">
        <f>Ridership_FY2024!E6/'Revenue Hours_FY2024'!F6</f>
        <v>2.5156324194636741</v>
      </c>
      <c r="N12" s="387">
        <f t="shared" si="2"/>
        <v>1.3087942373646106</v>
      </c>
      <c r="O12" s="388">
        <f t="shared" si="3"/>
        <v>6.7637477991552061E-3</v>
      </c>
      <c r="P12" s="389">
        <f t="shared" si="4"/>
        <v>6.4900264072482537E-3</v>
      </c>
      <c r="Q12" s="385">
        <f>Ridership_FY2024!B6/'Revenue Miles_FY2024'!C6</f>
        <v>0.10544016540836285</v>
      </c>
      <c r="R12" s="386">
        <f>Ridership_FY2024!C6/'Revenue Miles_FY2024'!D6</f>
        <v>0.11380730389718556</v>
      </c>
      <c r="S12" s="386">
        <f>Ridership_FY2024!D6/'Revenue Miles_FY2024'!E6</f>
        <v>8.6154544217069737E-2</v>
      </c>
      <c r="T12" s="386">
        <f>Ridership_FY2024!E6/'Revenue Miles_FY2024'!F6</f>
        <v>0.15736959607772016</v>
      </c>
      <c r="U12" s="387">
        <f t="shared" si="5"/>
        <v>1.331576106473251</v>
      </c>
      <c r="V12" s="388">
        <f t="shared" si="6"/>
        <v>6.8814827437668862E-3</v>
      </c>
      <c r="W12" s="389">
        <f t="shared" si="7"/>
        <v>6.6257078422259971E-3</v>
      </c>
      <c r="X12" s="385">
        <f>'Op Cost_FY2024'!B6/'Revenue Hours_FY2024'!C6</f>
        <v>32.57793351368035</v>
      </c>
      <c r="Y12" s="386">
        <f>'Op Cost_FY2024'!C6/'Revenue Hours_FY2024'!D6</f>
        <v>28.535460118042245</v>
      </c>
      <c r="Z12" s="386">
        <f>'Op Cost_FY2024'!D6/'Revenue Hours_FY2024'!E6</f>
        <v>42.25856741971144</v>
      </c>
      <c r="AA12" s="386">
        <f>'Op Cost_FY2024'!E6/'Revenue Hours_FY2024'!F6</f>
        <v>54.154224876915002</v>
      </c>
      <c r="AB12" s="387">
        <f t="shared" si="8"/>
        <v>1.1170601959171089</v>
      </c>
      <c r="AC12" s="388">
        <f t="shared" si="9"/>
        <v>4.6263603219425719E-3</v>
      </c>
      <c r="AD12" s="389">
        <f t="shared" si="10"/>
        <v>4.6521439295777213E-3</v>
      </c>
      <c r="AE12" s="385">
        <f>'Op Cost_FY2024'!B6/'Revenue Miles_FY2024'!C6</f>
        <v>1.9650566072449389</v>
      </c>
      <c r="AF12" s="386">
        <f>'Op Cost_FY2024'!C6/'Revenue Miles_FY2024'!D6</f>
        <v>1.7393535923745185</v>
      </c>
      <c r="AG12" s="386">
        <f>'Op Cost_FY2024'!D6/'Revenue Miles_FY2024'!E6</f>
        <v>2.7058214982530968</v>
      </c>
      <c r="AH12" s="386">
        <f>'Op Cost_FY2024'!E6/'Revenue Miles_FY2024'!F6</f>
        <v>3.3877081678725758</v>
      </c>
      <c r="AI12" s="387">
        <f t="shared" si="11"/>
        <v>1.1363865749613105</v>
      </c>
      <c r="AJ12" s="388">
        <f t="shared" si="12"/>
        <v>4.5476804121768648E-3</v>
      </c>
      <c r="AK12" s="389">
        <f t="shared" si="13"/>
        <v>4.5528201667386081E-3</v>
      </c>
      <c r="AL12" s="385">
        <f>'Op Cost_FY2024'!B6/Ridership_FY2024!B6</f>
        <v>18.63669882946791</v>
      </c>
      <c r="AM12" s="386">
        <f>'Op Cost_FY2024'!C6/Ridership_FY2024!C6</f>
        <v>15.283321305510098</v>
      </c>
      <c r="AN12" s="386">
        <f>'Op Cost_FY2024'!D6/Ridership_FY2024!D6</f>
        <v>31.406602203543365</v>
      </c>
      <c r="AO12" s="386">
        <f>'Op Cost_FY2024'!E6/Ridership_FY2024!E6</f>
        <v>21.527081801744522</v>
      </c>
      <c r="AP12" s="390">
        <f t="shared" si="14"/>
        <v>0.84909631981797562</v>
      </c>
      <c r="AQ12" s="388">
        <f t="shared" si="15"/>
        <v>6.0863801278990088E-3</v>
      </c>
      <c r="AR12" s="389">
        <f t="shared" si="16"/>
        <v>6.4432157219347632E-3</v>
      </c>
      <c r="AT12" s="391">
        <f t="shared" si="26"/>
        <v>0</v>
      </c>
      <c r="AU12" s="392">
        <f t="shared" si="17"/>
        <v>0</v>
      </c>
      <c r="AV12" s="392">
        <f t="shared" si="18"/>
        <v>0</v>
      </c>
      <c r="AW12" s="392">
        <f t="shared" si="19"/>
        <v>0</v>
      </c>
      <c r="AX12" s="393">
        <f t="shared" si="20"/>
        <v>0</v>
      </c>
      <c r="AY12" s="368">
        <f t="shared" si="27"/>
        <v>-1</v>
      </c>
      <c r="AZ12" s="394">
        <f t="shared" si="21"/>
        <v>0</v>
      </c>
      <c r="BA12" s="395">
        <f t="shared" si="21"/>
        <v>0</v>
      </c>
      <c r="BB12" s="395">
        <f t="shared" si="21"/>
        <v>0</v>
      </c>
      <c r="BC12" s="395">
        <f t="shared" si="21"/>
        <v>0</v>
      </c>
      <c r="BD12" s="395">
        <f t="shared" si="21"/>
        <v>0</v>
      </c>
      <c r="BE12" s="396">
        <f t="shared" si="28"/>
        <v>654273.82589223632</v>
      </c>
      <c r="BG12" s="397">
        <f>'Op Cost_FY2024'!E6</f>
        <v>2166873</v>
      </c>
      <c r="BH12" s="398">
        <f t="shared" si="22"/>
        <v>0.30194378068868655</v>
      </c>
      <c r="BI12" s="399">
        <f t="shared" si="23"/>
        <v>650061.9</v>
      </c>
      <c r="BJ12" s="400">
        <f t="shared" si="24"/>
        <v>4211.9258922362933</v>
      </c>
      <c r="BL12" s="548">
        <f t="shared" si="29"/>
        <v>0.28096314840551506</v>
      </c>
      <c r="BM12" s="548">
        <f t="shared" si="30"/>
        <v>0.25389712861557706</v>
      </c>
      <c r="BN12" s="549">
        <f t="shared" si="31"/>
        <v>0.65490835342696752</v>
      </c>
      <c r="BO12" s="155">
        <f t="shared" si="25"/>
        <v>0</v>
      </c>
      <c r="BP12" s="154">
        <f t="shared" si="32"/>
        <v>2.3832871381983881E-3</v>
      </c>
      <c r="BQ12" s="153">
        <f t="shared" si="33"/>
        <v>0</v>
      </c>
      <c r="BR12" s="152">
        <f t="shared" si="34"/>
        <v>0</v>
      </c>
      <c r="BS12" s="151">
        <f t="shared" si="35"/>
        <v>650061.9</v>
      </c>
      <c r="BT12" s="540">
        <f t="shared" si="36"/>
        <v>650061.9</v>
      </c>
      <c r="BU12" s="540">
        <f t="shared" si="37"/>
        <v>650061.9</v>
      </c>
      <c r="BV12" s="540">
        <f t="shared" si="41"/>
        <v>0</v>
      </c>
      <c r="BW12" s="541">
        <f t="shared" si="38"/>
        <v>0</v>
      </c>
      <c r="BX12" s="542">
        <f t="shared" si="39"/>
        <v>0</v>
      </c>
      <c r="BY12" s="543">
        <f t="shared" si="40"/>
        <v>650061.9</v>
      </c>
    </row>
    <row r="13" spans="1:77">
      <c r="A13" s="403" t="s">
        <v>49</v>
      </c>
      <c r="B13" s="382" t="s">
        <v>64</v>
      </c>
      <c r="C13" s="179">
        <f>'Sizing - Reim Exp_FY2024'!B7</f>
        <v>403050</v>
      </c>
      <c r="D13" s="178">
        <f>Ridership_FY2024!$E7</f>
        <v>29128</v>
      </c>
      <c r="E13" s="178">
        <f>'Revenue Hours_FY2024'!$F7</f>
        <v>7979</v>
      </c>
      <c r="F13" s="178">
        <f>'Revenue Miles_FY2024'!$F7</f>
        <v>129480</v>
      </c>
      <c r="G13" s="383">
        <f t="shared" si="0"/>
        <v>1.1568552702909459E-3</v>
      </c>
      <c r="H13" s="384">
        <f t="shared" si="1"/>
        <v>1.0921539244195904E-3</v>
      </c>
      <c r="J13" s="385">
        <f>Ridership_FY2024!B7/'Revenue Hours_FY2024'!C7</f>
        <v>5.4228308164832351</v>
      </c>
      <c r="K13" s="386">
        <f>Ridership_FY2024!C7/'Revenue Hours_FY2024'!D7</f>
        <v>5.5566235366605055</v>
      </c>
      <c r="L13" s="386">
        <f>Ridership_FY2024!D7/'Revenue Hours_FY2024'!E7</f>
        <v>3.8071505958829901</v>
      </c>
      <c r="M13" s="386">
        <f>Ridership_FY2024!E7/'Revenue Hours_FY2024'!F7</f>
        <v>3.650582779796967</v>
      </c>
      <c r="N13" s="387">
        <f t="shared" si="2"/>
        <v>1.0356052461268719</v>
      </c>
      <c r="O13" s="388">
        <f t="shared" si="3"/>
        <v>1.131040333706979E-3</v>
      </c>
      <c r="P13" s="389">
        <f t="shared" si="4"/>
        <v>1.0852683824695531E-3</v>
      </c>
      <c r="Q13" s="385">
        <f>Ridership_FY2024!B7/'Revenue Miles_FY2024'!C7</f>
        <v>0.32596387581156344</v>
      </c>
      <c r="R13" s="386">
        <f>Ridership_FY2024!C7/'Revenue Miles_FY2024'!D7</f>
        <v>0.3373331737387037</v>
      </c>
      <c r="S13" s="386">
        <f>Ridership_FY2024!D7/'Revenue Miles_FY2024'!E7</f>
        <v>0.2437813629741542</v>
      </c>
      <c r="T13" s="386">
        <f>Ridership_FY2024!E7/'Revenue Miles_FY2024'!F7</f>
        <v>0.22496138399752857</v>
      </c>
      <c r="U13" s="387">
        <f t="shared" si="5"/>
        <v>1.0550937211571547</v>
      </c>
      <c r="V13" s="388">
        <f t="shared" si="6"/>
        <v>1.1523247481922555E-3</v>
      </c>
      <c r="W13" s="389">
        <f t="shared" si="7"/>
        <v>1.1094944803580493E-3</v>
      </c>
      <c r="X13" s="385">
        <f>'Op Cost_FY2024'!B7/'Revenue Hours_FY2024'!C7</f>
        <v>40.351676478116204</v>
      </c>
      <c r="Y13" s="386">
        <f>'Op Cost_FY2024'!C7/'Revenue Hours_FY2024'!D7</f>
        <v>38.559704251386322</v>
      </c>
      <c r="Z13" s="386">
        <f>'Op Cost_FY2024'!D7/'Revenue Hours_FY2024'!E7</f>
        <v>43.683519922956542</v>
      </c>
      <c r="AA13" s="386">
        <f>'Op Cost_FY2024'!E7/'Revenue Hours_FY2024'!F7</f>
        <v>59.664118310565236</v>
      </c>
      <c r="AB13" s="387">
        <f t="shared" si="8"/>
        <v>1.0761566622611438</v>
      </c>
      <c r="AC13" s="388">
        <f t="shared" si="9"/>
        <v>1.0148651796893903E-3</v>
      </c>
      <c r="AD13" s="389">
        <f t="shared" si="10"/>
        <v>1.0205212211074307E-3</v>
      </c>
      <c r="AE13" s="385">
        <f>'Op Cost_FY2024'!B7/'Revenue Miles_FY2024'!C7</f>
        <v>2.425520785254931</v>
      </c>
      <c r="AF13" s="386">
        <f>'Op Cost_FY2024'!C7/'Revenue Miles_FY2024'!D7</f>
        <v>2.340894128912562</v>
      </c>
      <c r="AG13" s="386">
        <f>'Op Cost_FY2024'!D7/'Revenue Miles_FY2024'!E7</f>
        <v>2.7971649027603269</v>
      </c>
      <c r="AH13" s="386">
        <f>'Op Cost_FY2024'!E7/'Revenue Miles_FY2024'!F7</f>
        <v>3.6767068273092369</v>
      </c>
      <c r="AI13" s="387">
        <f t="shared" si="11"/>
        <v>1.0869500841393458</v>
      </c>
      <c r="AJ13" s="388">
        <f t="shared" si="12"/>
        <v>1.004787561412597E-3</v>
      </c>
      <c r="AK13" s="389">
        <f t="shared" si="13"/>
        <v>1.0059231648377024E-3</v>
      </c>
      <c r="AL13" s="385">
        <f>'Op Cost_FY2024'!B7/Ridership_FY2024!B7</f>
        <v>7.4410723556898102</v>
      </c>
      <c r="AM13" s="386">
        <f>'Op Cost_FY2024'!C7/Ridership_FY2024!C7</f>
        <v>6.9394127561429961</v>
      </c>
      <c r="AN13" s="386">
        <f>'Op Cost_FY2024'!D7/Ridership_FY2024!D7</f>
        <v>11.474071966103839</v>
      </c>
      <c r="AO13" s="386">
        <f>'Op Cost_FY2024'!E7/Ridership_FY2024!E7</f>
        <v>16.343724251579236</v>
      </c>
      <c r="AP13" s="390">
        <f t="shared" si="14"/>
        <v>1.1461309032866442</v>
      </c>
      <c r="AQ13" s="388">
        <f t="shared" si="15"/>
        <v>9.5290504888030723E-4</v>
      </c>
      <c r="AR13" s="389">
        <f t="shared" si="16"/>
        <v>1.0087724827295714E-3</v>
      </c>
      <c r="AT13" s="391">
        <f t="shared" si="26"/>
        <v>0</v>
      </c>
      <c r="AU13" s="392">
        <f t="shared" si="17"/>
        <v>0</v>
      </c>
      <c r="AV13" s="392">
        <f t="shared" si="18"/>
        <v>0</v>
      </c>
      <c r="AW13" s="392">
        <f t="shared" si="19"/>
        <v>0</v>
      </c>
      <c r="AX13" s="393">
        <f t="shared" si="20"/>
        <v>0</v>
      </c>
      <c r="AY13" s="368">
        <f t="shared" si="27"/>
        <v>-1</v>
      </c>
      <c r="AZ13" s="394">
        <f t="shared" si="21"/>
        <v>0</v>
      </c>
      <c r="BA13" s="395">
        <f t="shared" si="21"/>
        <v>0</v>
      </c>
      <c r="BB13" s="395">
        <f t="shared" si="21"/>
        <v>0</v>
      </c>
      <c r="BC13" s="395">
        <f t="shared" si="21"/>
        <v>0</v>
      </c>
      <c r="BD13" s="395">
        <f t="shared" si="21"/>
        <v>0</v>
      </c>
      <c r="BE13" s="396">
        <f t="shared" si="28"/>
        <v>138269.8099548824</v>
      </c>
      <c r="BG13" s="397">
        <f>'Op Cost_FY2024'!E7</f>
        <v>476060</v>
      </c>
      <c r="BH13" s="398">
        <f t="shared" si="22"/>
        <v>0.29044618315943871</v>
      </c>
      <c r="BI13" s="399">
        <f t="shared" si="23"/>
        <v>138269.8099548824</v>
      </c>
      <c r="BJ13" s="400">
        <f t="shared" si="24"/>
        <v>0</v>
      </c>
      <c r="BL13" s="548">
        <f t="shared" si="29"/>
        <v>0.40772221863215807</v>
      </c>
      <c r="BM13" s="548">
        <f t="shared" si="30"/>
        <v>0.3629484402956103</v>
      </c>
      <c r="BN13" s="549">
        <f t="shared" si="31"/>
        <v>0.8626103499944866</v>
      </c>
      <c r="BO13" s="155">
        <f t="shared" si="25"/>
        <v>138269.8099548824</v>
      </c>
      <c r="BP13" s="154">
        <f t="shared" si="32"/>
        <v>6.8147438564146587E-4</v>
      </c>
      <c r="BQ13" s="153">
        <f t="shared" si="33"/>
        <v>6.8147438564146587E-4</v>
      </c>
      <c r="BR13" s="152">
        <f t="shared" si="34"/>
        <v>1.1378757733984317E-3</v>
      </c>
      <c r="BS13" s="151">
        <f t="shared" si="35"/>
        <v>152650.31482575761</v>
      </c>
      <c r="BT13" s="540">
        <f t="shared" si="36"/>
        <v>142818</v>
      </c>
      <c r="BU13" s="540">
        <f t="shared" si="37"/>
        <v>142818</v>
      </c>
      <c r="BV13" s="540">
        <f t="shared" si="41"/>
        <v>9832.3148257576104</v>
      </c>
      <c r="BW13" s="541">
        <f t="shared" si="38"/>
        <v>0</v>
      </c>
      <c r="BX13" s="542">
        <f t="shared" si="39"/>
        <v>0</v>
      </c>
      <c r="BY13" s="543">
        <f t="shared" si="40"/>
        <v>142818</v>
      </c>
    </row>
    <row r="14" spans="1:77">
      <c r="A14" s="403" t="s">
        <v>50</v>
      </c>
      <c r="B14" s="382" t="s">
        <v>65</v>
      </c>
      <c r="C14" s="179">
        <f>'Sizing - Reim Exp_FY2024'!B8</f>
        <v>9117656</v>
      </c>
      <c r="D14" s="178">
        <f>Ridership_FY2024!$E8</f>
        <v>1154287</v>
      </c>
      <c r="E14" s="178">
        <f>'Revenue Hours_FY2024'!$F8</f>
        <v>58751</v>
      </c>
      <c r="F14" s="178">
        <f>'Revenue Miles_FY2024'!$F8</f>
        <v>807792</v>
      </c>
      <c r="G14" s="383">
        <f t="shared" si="0"/>
        <v>2.1282830958868813E-2</v>
      </c>
      <c r="H14" s="384">
        <f t="shared" si="1"/>
        <v>2.0092511095741034E-2</v>
      </c>
      <c r="J14" s="385">
        <f>Ridership_FY2024!B8/'Revenue Hours_FY2024'!C8</f>
        <v>19.767837879488365</v>
      </c>
      <c r="K14" s="386">
        <f>Ridership_FY2024!C8/'Revenue Hours_FY2024'!D8</f>
        <v>17.327594346172003</v>
      </c>
      <c r="L14" s="386">
        <f>Ridership_FY2024!D8/'Revenue Hours_FY2024'!E8</f>
        <v>8.228226225879153</v>
      </c>
      <c r="M14" s="386">
        <f>Ridership_FY2024!E8/'Revenue Hours_FY2024'!F8</f>
        <v>19.647103879082909</v>
      </c>
      <c r="N14" s="387">
        <f t="shared" si="2"/>
        <v>1.2192511161277548</v>
      </c>
      <c r="O14" s="388">
        <f t="shared" si="3"/>
        <v>2.4497816579291554E-2</v>
      </c>
      <c r="P14" s="389">
        <f t="shared" si="4"/>
        <v>2.3506417039881995E-2</v>
      </c>
      <c r="Q14" s="385">
        <f>Ridership_FY2024!B8/'Revenue Miles_FY2024'!C8</f>
        <v>2.1316609992044087</v>
      </c>
      <c r="R14" s="386">
        <f>Ridership_FY2024!C8/'Revenue Miles_FY2024'!D8</f>
        <v>1.9171644901717197</v>
      </c>
      <c r="S14" s="386">
        <f>Ridership_FY2024!D8/'Revenue Miles_FY2024'!E8</f>
        <v>0.84464065708418889</v>
      </c>
      <c r="T14" s="386">
        <f>Ridership_FY2024!E8/'Revenue Miles_FY2024'!F8</f>
        <v>1.4289408659654961</v>
      </c>
      <c r="U14" s="387">
        <f t="shared" si="5"/>
        <v>1.0329293204224002</v>
      </c>
      <c r="V14" s="388">
        <f t="shared" si="6"/>
        <v>2.075414383170332E-2</v>
      </c>
      <c r="W14" s="389">
        <f t="shared" si="7"/>
        <v>1.9982741898024476E-2</v>
      </c>
      <c r="X14" s="385">
        <f>'Op Cost_FY2024'!B8/'Revenue Hours_FY2024'!C8</f>
        <v>77.294084219448294</v>
      </c>
      <c r="Y14" s="386">
        <f>'Op Cost_FY2024'!C8/'Revenue Hours_FY2024'!D8</f>
        <v>81.344653948330603</v>
      </c>
      <c r="Z14" s="386">
        <f>'Op Cost_FY2024'!D8/'Revenue Hours_FY2024'!E8</f>
        <v>121.31553469268006</v>
      </c>
      <c r="AA14" s="386">
        <f>'Op Cost_FY2024'!E8/'Revenue Hours_FY2024'!F8</f>
        <v>156.54829705026299</v>
      </c>
      <c r="AB14" s="387">
        <f t="shared" si="8"/>
        <v>1.1806154944392757</v>
      </c>
      <c r="AC14" s="388">
        <f t="shared" si="9"/>
        <v>1.7018674742434934E-2</v>
      </c>
      <c r="AD14" s="389">
        <f t="shared" si="10"/>
        <v>1.7113523133285069E-2</v>
      </c>
      <c r="AE14" s="385">
        <f>'Op Cost_FY2024'!B8/'Revenue Miles_FY2024'!C8</f>
        <v>8.3349927191978441</v>
      </c>
      <c r="AF14" s="386">
        <f>'Op Cost_FY2024'!C8/'Revenue Miles_FY2024'!D8</f>
        <v>9.0001577194989437</v>
      </c>
      <c r="AG14" s="386">
        <f>'Op Cost_FY2024'!D8/'Revenue Miles_FY2024'!E8</f>
        <v>12.453234770704997</v>
      </c>
      <c r="AH14" s="386">
        <f>'Op Cost_FY2024'!E8/'Revenue Miles_FY2024'!F8</f>
        <v>11.385813427218888</v>
      </c>
      <c r="AI14" s="387">
        <f t="shared" si="11"/>
        <v>1.0391119823445312</v>
      </c>
      <c r="AJ14" s="388">
        <f t="shared" si="12"/>
        <v>1.9336232703627027E-2</v>
      </c>
      <c r="AK14" s="389">
        <f t="shared" si="13"/>
        <v>1.9358086369944318E-2</v>
      </c>
      <c r="AL14" s="385">
        <f>'Op Cost_FY2024'!B8/Ridership_FY2024!B8</f>
        <v>3.910092984911147</v>
      </c>
      <c r="AM14" s="386">
        <f>'Op Cost_FY2024'!C8/Ridership_FY2024!C8</f>
        <v>4.6945151371402689</v>
      </c>
      <c r="AN14" s="386">
        <f>'Op Cost_FY2024'!D8/Ridership_FY2024!D8</f>
        <v>14.743825869921071</v>
      </c>
      <c r="AO14" s="386">
        <f>'Op Cost_FY2024'!E8/Ridership_FY2024!E8</f>
        <v>7.9680088227624495</v>
      </c>
      <c r="AP14" s="387">
        <f t="shared" si="14"/>
        <v>1.063188575491355</v>
      </c>
      <c r="AQ14" s="388">
        <f t="shared" si="15"/>
        <v>1.8898351204023459E-2</v>
      </c>
      <c r="AR14" s="389">
        <f t="shared" si="16"/>
        <v>2.0006333984670433E-2</v>
      </c>
      <c r="AT14" s="391">
        <f t="shared" si="26"/>
        <v>0</v>
      </c>
      <c r="AU14" s="392">
        <f t="shared" si="17"/>
        <v>0</v>
      </c>
      <c r="AV14" s="392">
        <f t="shared" si="18"/>
        <v>0</v>
      </c>
      <c r="AW14" s="392">
        <f t="shared" si="19"/>
        <v>0</v>
      </c>
      <c r="AX14" s="393">
        <f t="shared" si="20"/>
        <v>0</v>
      </c>
      <c r="AY14" s="368">
        <f t="shared" si="27"/>
        <v>-1</v>
      </c>
      <c r="AZ14" s="394">
        <f t="shared" si="21"/>
        <v>0</v>
      </c>
      <c r="BA14" s="395">
        <f t="shared" si="21"/>
        <v>0</v>
      </c>
      <c r="BB14" s="395">
        <f t="shared" si="21"/>
        <v>0</v>
      </c>
      <c r="BC14" s="395">
        <f t="shared" si="21"/>
        <v>0</v>
      </c>
      <c r="BD14" s="395">
        <f t="shared" si="21"/>
        <v>0</v>
      </c>
      <c r="BE14" s="396">
        <f t="shared" si="28"/>
        <v>2543769.3612655443</v>
      </c>
      <c r="BG14" s="397">
        <f>'Op Cost_FY2024'!E8</f>
        <v>9197369</v>
      </c>
      <c r="BH14" s="398">
        <f t="shared" si="22"/>
        <v>0.27657576435886655</v>
      </c>
      <c r="BI14" s="399">
        <f t="shared" si="23"/>
        <v>2543769.3612655443</v>
      </c>
      <c r="BJ14" s="400">
        <f t="shared" si="24"/>
        <v>0</v>
      </c>
      <c r="BL14" s="548">
        <f t="shared" si="29"/>
        <v>2.1943238289536016</v>
      </c>
      <c r="BM14" s="548">
        <f t="shared" si="30"/>
        <v>2.305426155195299</v>
      </c>
      <c r="BN14" s="549">
        <f t="shared" si="31"/>
        <v>1.769358695561833</v>
      </c>
      <c r="BO14" s="155">
        <f t="shared" si="25"/>
        <v>2543769.3612655443</v>
      </c>
      <c r="BP14" s="154">
        <f t="shared" si="32"/>
        <v>4.0378248732604094E-2</v>
      </c>
      <c r="BQ14" s="153">
        <f t="shared" si="33"/>
        <v>4.0378248732604094E-2</v>
      </c>
      <c r="BR14" s="152">
        <f t="shared" si="34"/>
        <v>6.7420627940165498E-2</v>
      </c>
      <c r="BS14" s="151">
        <f t="shared" si="35"/>
        <v>3395833.0848786542</v>
      </c>
      <c r="BT14" s="540">
        <f t="shared" si="36"/>
        <v>2759210.6999999997</v>
      </c>
      <c r="BU14" s="540">
        <f t="shared" si="37"/>
        <v>2759210.6999999997</v>
      </c>
      <c r="BV14" s="540">
        <f t="shared" si="41"/>
        <v>636622.3848786545</v>
      </c>
      <c r="BW14" s="541">
        <f t="shared" si="38"/>
        <v>0</v>
      </c>
      <c r="BX14" s="542">
        <f t="shared" si="39"/>
        <v>0</v>
      </c>
      <c r="BY14" s="543">
        <f t="shared" si="40"/>
        <v>2759210.6999999997</v>
      </c>
    </row>
    <row r="15" spans="1:77" ht="16.5" customHeight="1">
      <c r="A15" s="405"/>
      <c r="B15" s="406"/>
      <c r="C15" s="407"/>
      <c r="D15" s="408"/>
      <c r="E15" s="408"/>
      <c r="F15" s="408"/>
      <c r="G15" s="409"/>
      <c r="H15" s="410"/>
      <c r="J15" s="411"/>
      <c r="K15" s="412"/>
      <c r="L15" s="412"/>
      <c r="M15" s="412"/>
      <c r="N15" s="413"/>
      <c r="O15" s="414"/>
      <c r="P15" s="415"/>
      <c r="Q15" s="411"/>
      <c r="R15" s="412"/>
      <c r="S15" s="412"/>
      <c r="T15" s="412"/>
      <c r="U15" s="413"/>
      <c r="V15" s="414"/>
      <c r="W15" s="415"/>
      <c r="X15" s="411"/>
      <c r="Y15" s="412"/>
      <c r="Z15" s="412"/>
      <c r="AA15" s="412"/>
      <c r="AB15" s="413"/>
      <c r="AC15" s="414"/>
      <c r="AD15" s="415"/>
      <c r="AE15" s="411"/>
      <c r="AF15" s="412"/>
      <c r="AG15" s="412"/>
      <c r="AH15" s="412"/>
      <c r="AI15" s="413"/>
      <c r="AJ15" s="414"/>
      <c r="AK15" s="415"/>
      <c r="AL15" s="411"/>
      <c r="AM15" s="412"/>
      <c r="AN15" s="412"/>
      <c r="AO15" s="412"/>
      <c r="AP15" s="416"/>
      <c r="AQ15" s="414"/>
      <c r="AR15" s="415"/>
      <c r="AT15" s="417"/>
      <c r="AU15" s="418"/>
      <c r="AV15" s="418"/>
      <c r="AW15" s="418"/>
      <c r="AX15" s="419"/>
      <c r="AY15" s="368" t="e">
        <f t="shared" si="27"/>
        <v>#DIV/0!</v>
      </c>
      <c r="AZ15" s="420"/>
      <c r="BA15" s="421"/>
      <c r="BB15" s="421"/>
      <c r="BC15" s="421"/>
      <c r="BD15" s="421"/>
      <c r="BE15" s="396">
        <f t="shared" si="28"/>
        <v>0</v>
      </c>
      <c r="BG15" s="422"/>
      <c r="BH15" s="423"/>
      <c r="BI15" s="424"/>
      <c r="BJ15" s="425"/>
      <c r="BL15" s="548"/>
      <c r="BM15" s="548"/>
      <c r="BN15" s="549"/>
      <c r="BO15" s="407"/>
      <c r="BP15" s="154"/>
      <c r="BQ15" s="153">
        <f t="shared" si="33"/>
        <v>0</v>
      </c>
      <c r="BR15" s="152">
        <f t="shared" si="34"/>
        <v>0</v>
      </c>
      <c r="BS15" s="151">
        <f t="shared" si="35"/>
        <v>0</v>
      </c>
      <c r="BT15" s="540">
        <f t="shared" si="36"/>
        <v>0</v>
      </c>
      <c r="BU15" s="540">
        <f t="shared" si="37"/>
        <v>0</v>
      </c>
      <c r="BV15" s="540">
        <f t="shared" si="41"/>
        <v>0</v>
      </c>
      <c r="BW15" s="541">
        <f t="shared" si="38"/>
        <v>0</v>
      </c>
      <c r="BX15" s="542">
        <f t="shared" si="39"/>
        <v>0</v>
      </c>
      <c r="BY15" s="543">
        <f t="shared" si="40"/>
        <v>0</v>
      </c>
    </row>
    <row r="16" spans="1:77">
      <c r="A16" s="403" t="s">
        <v>51</v>
      </c>
      <c r="B16" s="382" t="s">
        <v>66</v>
      </c>
      <c r="C16" s="179">
        <f>'Sizing - Reim Exp_FY2024'!B10</f>
        <v>4295390</v>
      </c>
      <c r="D16" s="178">
        <f>Ridership_FY2024!$E10</f>
        <v>179874</v>
      </c>
      <c r="E16" s="178">
        <f>'Revenue Hours_FY2024'!$F10</f>
        <v>40268</v>
      </c>
      <c r="F16" s="178">
        <f>'Revenue Miles_FY2024'!$F10</f>
        <v>598250</v>
      </c>
      <c r="G16" s="404">
        <f t="shared" si="0"/>
        <v>7.7036447428633177E-3</v>
      </c>
      <c r="H16" s="384">
        <f t="shared" si="1"/>
        <v>7.2727903432004319E-3</v>
      </c>
      <c r="J16" s="385">
        <f>Ridership_FY2024!B10/'Revenue Hours_FY2024'!C10</f>
        <v>6.326061550447994</v>
      </c>
      <c r="K16" s="386">
        <f>Ridership_FY2024!C10/'Revenue Hours_FY2024'!D10</f>
        <v>5.5934530095036958</v>
      </c>
      <c r="L16" s="386">
        <f>Ridership_FY2024!D10/'Revenue Hours_FY2024'!E10</f>
        <v>3.4815432129025932</v>
      </c>
      <c r="M16" s="386">
        <f>Ridership_FY2024!E10/'Revenue Hours_FY2024'!F10</f>
        <v>4.4669216251117509</v>
      </c>
      <c r="N16" s="387">
        <f t="shared" si="2"/>
        <v>1.0317484320832804</v>
      </c>
      <c r="O16" s="388">
        <f t="shared" si="3"/>
        <v>7.5036900334674679E-3</v>
      </c>
      <c r="P16" s="389">
        <f t="shared" si="4"/>
        <v>7.2000239978036937E-3</v>
      </c>
      <c r="Q16" s="385">
        <f>Ridership_FY2024!B10/'Revenue Miles_FY2024'!C10</f>
        <v>0.39410887442709325</v>
      </c>
      <c r="R16" s="386">
        <f>Ridership_FY2024!C10/'Revenue Miles_FY2024'!D10</f>
        <v>0.3427235145820865</v>
      </c>
      <c r="S16" s="386">
        <f>Ridership_FY2024!D10/'Revenue Miles_FY2024'!E10</f>
        <v>0.23255357049300571</v>
      </c>
      <c r="T16" s="386">
        <f>Ridership_FY2024!E10/'Revenue Miles_FY2024'!F10</f>
        <v>0.30066694525699961</v>
      </c>
      <c r="U16" s="387">
        <f t="shared" si="5"/>
        <v>1.0693183510750313</v>
      </c>
      <c r="V16" s="388">
        <f t="shared" si="6"/>
        <v>7.7769281775054962E-3</v>
      </c>
      <c r="W16" s="389">
        <f t="shared" si="7"/>
        <v>7.4878708459741837E-3</v>
      </c>
      <c r="X16" s="385">
        <f>'Op Cost_FY2024'!B10/'Revenue Hours_FY2024'!C10</f>
        <v>73.36560186988703</v>
      </c>
      <c r="Y16" s="386">
        <f>'Op Cost_FY2024'!C10/'Revenue Hours_FY2024'!D10</f>
        <v>71.54291748378337</v>
      </c>
      <c r="Z16" s="386">
        <f>'Op Cost_FY2024'!D10/'Revenue Hours_FY2024'!E10</f>
        <v>97.854576204715912</v>
      </c>
      <c r="AA16" s="386">
        <f>'Op Cost_FY2024'!E10/'Revenue Hours_FY2024'!F10</f>
        <v>112.67122777391477</v>
      </c>
      <c r="AB16" s="387">
        <f t="shared" si="8"/>
        <v>1.0753667804942089</v>
      </c>
      <c r="AC16" s="388">
        <f t="shared" si="9"/>
        <v>6.7630788630629437E-3</v>
      </c>
      <c r="AD16" s="389">
        <f t="shared" si="10"/>
        <v>6.8007708195203182E-3</v>
      </c>
      <c r="AE16" s="385">
        <f>'Op Cost_FY2024'!B10/'Revenue Miles_FY2024'!C10</f>
        <v>4.5706217911458378</v>
      </c>
      <c r="AF16" s="386">
        <f>'Op Cost_FY2024'!C10/'Revenue Miles_FY2024'!D10</f>
        <v>4.38359633697433</v>
      </c>
      <c r="AG16" s="386">
        <f>'Op Cost_FY2024'!D10/'Revenue Miles_FY2024'!E10</f>
        <v>6.5363057971394145</v>
      </c>
      <c r="AH16" s="386">
        <f>'Op Cost_FY2024'!E10/'Revenue Miles_FY2024'!F10</f>
        <v>7.5838612620142083</v>
      </c>
      <c r="AI16" s="387">
        <f t="shared" si="11"/>
        <v>1.1120931991872134</v>
      </c>
      <c r="AJ16" s="388">
        <f t="shared" si="12"/>
        <v>6.5397309762489676E-3</v>
      </c>
      <c r="AK16" s="389">
        <f t="shared" si="13"/>
        <v>6.5471221315350223E-3</v>
      </c>
      <c r="AL16" s="385">
        <f>'Op Cost_FY2024'!B10/Ridership_FY2024!B10</f>
        <v>11.597358211712544</v>
      </c>
      <c r="AM16" s="386">
        <f>'Op Cost_FY2024'!C10/Ridership_FY2024!C10</f>
        <v>12.790474392513282</v>
      </c>
      <c r="AN16" s="386">
        <f>'Op Cost_FY2024'!D10/Ridership_FY2024!D10</f>
        <v>28.106667136018022</v>
      </c>
      <c r="AO16" s="386">
        <f>'Op Cost_FY2024'!E10/Ridership_FY2024!E10</f>
        <v>25.223461978940815</v>
      </c>
      <c r="AP16" s="390">
        <f t="shared" si="14"/>
        <v>1.0520580090790668</v>
      </c>
      <c r="AQ16" s="388">
        <f t="shared" si="15"/>
        <v>6.9129176152242476E-3</v>
      </c>
      <c r="AR16" s="389">
        <f t="shared" si="16"/>
        <v>7.3182118971967898E-3</v>
      </c>
      <c r="AT16" s="391">
        <f t="shared" si="26"/>
        <v>0</v>
      </c>
      <c r="AU16" s="392">
        <f t="shared" si="17"/>
        <v>0</v>
      </c>
      <c r="AV16" s="392">
        <f t="shared" si="18"/>
        <v>0</v>
      </c>
      <c r="AW16" s="392">
        <f t="shared" si="19"/>
        <v>0</v>
      </c>
      <c r="AX16" s="393">
        <f t="shared" si="20"/>
        <v>0</v>
      </c>
      <c r="AY16" s="368">
        <f t="shared" si="27"/>
        <v>-1</v>
      </c>
      <c r="AZ16" s="394">
        <f t="shared" si="21"/>
        <v>0</v>
      </c>
      <c r="BA16" s="395">
        <f t="shared" si="21"/>
        <v>0</v>
      </c>
      <c r="BB16" s="395">
        <f t="shared" si="21"/>
        <v>0</v>
      </c>
      <c r="BC16" s="395">
        <f t="shared" si="21"/>
        <v>0</v>
      </c>
      <c r="BD16" s="395">
        <f t="shared" si="21"/>
        <v>0</v>
      </c>
      <c r="BE16" s="396">
        <f t="shared" si="28"/>
        <v>920756.05472044006</v>
      </c>
      <c r="BG16" s="397">
        <f>'Op Cost_FY2024'!E10</f>
        <v>4537045</v>
      </c>
      <c r="BH16" s="398">
        <f t="shared" si="22"/>
        <v>0.20294179465278392</v>
      </c>
      <c r="BI16" s="399">
        <f t="shared" si="23"/>
        <v>920756.05472044006</v>
      </c>
      <c r="BJ16" s="400">
        <f t="shared" si="24"/>
        <v>0</v>
      </c>
      <c r="BL16" s="548">
        <f t="shared" si="29"/>
        <v>0.49889656126297199</v>
      </c>
      <c r="BM16" s="548">
        <f t="shared" si="30"/>
        <v>0.48509036035568009</v>
      </c>
      <c r="BN16" s="549">
        <f t="shared" si="31"/>
        <v>0.55893460257909289</v>
      </c>
      <c r="BO16" s="155">
        <f t="shared" si="25"/>
        <v>920756.05472044006</v>
      </c>
      <c r="BP16" s="154">
        <f t="shared" si="32"/>
        <v>3.8215897354048119E-3</v>
      </c>
      <c r="BQ16" s="153">
        <f t="shared" si="33"/>
        <v>3.8215897354048119E-3</v>
      </c>
      <c r="BR16" s="152">
        <f t="shared" si="34"/>
        <v>6.3810092754873812E-3</v>
      </c>
      <c r="BS16" s="151">
        <f t="shared" si="35"/>
        <v>1001399.4229267823</v>
      </c>
      <c r="BT16" s="540">
        <f t="shared" si="36"/>
        <v>1361113.5</v>
      </c>
      <c r="BU16" s="540">
        <f t="shared" si="37"/>
        <v>1001399.4229267823</v>
      </c>
      <c r="BV16" s="540">
        <f t="shared" si="41"/>
        <v>0</v>
      </c>
      <c r="BW16" s="541">
        <f t="shared" si="38"/>
        <v>3.8215897354048119E-3</v>
      </c>
      <c r="BX16" s="542">
        <f t="shared" si="39"/>
        <v>8.6332002667582619E-3</v>
      </c>
      <c r="BY16" s="543">
        <f t="shared" si="40"/>
        <v>1021327.0925876829</v>
      </c>
    </row>
    <row r="17" spans="1:77">
      <c r="A17" s="403" t="s">
        <v>104</v>
      </c>
      <c r="B17" s="382" t="s">
        <v>67</v>
      </c>
      <c r="C17" s="179">
        <f>'Sizing - Reim Exp_FY2024'!B11</f>
        <v>1722873</v>
      </c>
      <c r="D17" s="178">
        <f>Ridership_FY2024!$E11</f>
        <v>75266</v>
      </c>
      <c r="E17" s="178">
        <f>'Revenue Hours_FY2024'!$F11</f>
        <v>21618</v>
      </c>
      <c r="F17" s="178">
        <f>'Revenue Miles_FY2024'!$F11</f>
        <v>415022</v>
      </c>
      <c r="G17" s="404">
        <f t="shared" si="0"/>
        <v>3.7326174064224856E-3</v>
      </c>
      <c r="H17" s="384">
        <f t="shared" si="1"/>
        <v>3.5238571785699158E-3</v>
      </c>
      <c r="J17" s="385">
        <f>Ridership_FY2024!B11/'Revenue Hours_FY2024'!C11</f>
        <v>7.655356409905596</v>
      </c>
      <c r="K17" s="386">
        <f>Ridership_FY2024!C11/'Revenue Hours_FY2024'!D11</f>
        <v>6.7021276595744679</v>
      </c>
      <c r="L17" s="386">
        <f>Ridership_FY2024!D11/'Revenue Hours_FY2024'!E11</f>
        <v>5.361326293975428</v>
      </c>
      <c r="M17" s="386">
        <f>Ridership_FY2024!E11/'Revenue Hours_FY2024'!F11</f>
        <v>3.4816356739753909</v>
      </c>
      <c r="N17" s="387">
        <f t="shared" si="2"/>
        <v>0.98008321006467869</v>
      </c>
      <c r="O17" s="388">
        <f t="shared" si="3"/>
        <v>3.4536732553822648E-3</v>
      </c>
      <c r="P17" s="389">
        <f t="shared" si="4"/>
        <v>3.3139069189181639E-3</v>
      </c>
      <c r="Q17" s="385">
        <f>Ridership_FY2024!B11/'Revenue Miles_FY2024'!C11</f>
        <v>0.43287508026520399</v>
      </c>
      <c r="R17" s="386">
        <f>Ridership_FY2024!C11/'Revenue Miles_FY2024'!D11</f>
        <v>0.35838935027674113</v>
      </c>
      <c r="S17" s="386">
        <f>Ridership_FY2024!D11/'Revenue Miles_FY2024'!E11</f>
        <v>0.29459705668644059</v>
      </c>
      <c r="T17" s="386">
        <f>Ridership_FY2024!E11/'Revenue Miles_FY2024'!F11</f>
        <v>0.18135424146189841</v>
      </c>
      <c r="U17" s="387">
        <f t="shared" si="5"/>
        <v>0.96747421208448736</v>
      </c>
      <c r="V17" s="388">
        <f t="shared" si="6"/>
        <v>3.4092409473351938E-3</v>
      </c>
      <c r="W17" s="389">
        <f t="shared" si="7"/>
        <v>3.2825243224299484E-3</v>
      </c>
      <c r="X17" s="385">
        <f>'Op Cost_FY2024'!B11/'Revenue Hours_FY2024'!C11</f>
        <v>69.455055411136954</v>
      </c>
      <c r="Y17" s="386">
        <f>'Op Cost_FY2024'!C11/'Revenue Hours_FY2024'!D11</f>
        <v>66.919313392948922</v>
      </c>
      <c r="Z17" s="386">
        <f>'Op Cost_FY2024'!D11/'Revenue Hours_FY2024'!E11</f>
        <v>71.305225243005879</v>
      </c>
      <c r="AA17" s="386">
        <f>'Op Cost_FY2024'!E11/'Revenue Hours_FY2024'!F11</f>
        <v>79.874363955962622</v>
      </c>
      <c r="AB17" s="387">
        <f t="shared" si="8"/>
        <v>0.97864829271439469</v>
      </c>
      <c r="AC17" s="388">
        <f t="shared" si="9"/>
        <v>3.6007391059724725E-3</v>
      </c>
      <c r="AD17" s="389">
        <f t="shared" si="10"/>
        <v>3.6208067267033085E-3</v>
      </c>
      <c r="AE17" s="385">
        <f>'Op Cost_FY2024'!B11/'Revenue Miles_FY2024'!C11</f>
        <v>3.9273628915588081</v>
      </c>
      <c r="AF17" s="386">
        <f>'Op Cost_FY2024'!C11/'Revenue Miles_FY2024'!D11</f>
        <v>3.578441125871858</v>
      </c>
      <c r="AG17" s="386">
        <f>'Op Cost_FY2024'!D11/'Revenue Miles_FY2024'!E11</f>
        <v>3.9181180795800845</v>
      </c>
      <c r="AH17" s="386">
        <f>'Op Cost_FY2024'!E11/'Revenue Miles_FY2024'!F11</f>
        <v>4.1605601630756928</v>
      </c>
      <c r="AI17" s="387">
        <f t="shared" si="11"/>
        <v>0.95623417116569043</v>
      </c>
      <c r="AJ17" s="388">
        <f t="shared" si="12"/>
        <v>3.6851404026632759E-3</v>
      </c>
      <c r="AK17" s="389">
        <f t="shared" si="13"/>
        <v>3.6893053209245807E-3</v>
      </c>
      <c r="AL17" s="385">
        <f>'Op Cost_FY2024'!B11/Ridership_FY2024!B11</f>
        <v>9.0727396207531328</v>
      </c>
      <c r="AM17" s="386">
        <f>'Op Cost_FY2024'!C11/Ridership_FY2024!C11</f>
        <v>9.9847864427574571</v>
      </c>
      <c r="AN17" s="386">
        <f>'Op Cost_FY2024'!D11/Ridership_FY2024!D11</f>
        <v>13.299922693220932</v>
      </c>
      <c r="AO17" s="386">
        <f>'Op Cost_FY2024'!E11/Ridership_FY2024!E11</f>
        <v>22.941620386363031</v>
      </c>
      <c r="AP17" s="390">
        <f t="shared" si="14"/>
        <v>1.2845529000575469</v>
      </c>
      <c r="AQ17" s="388">
        <f t="shared" si="15"/>
        <v>2.7432557883852429E-3</v>
      </c>
      <c r="AR17" s="389">
        <f t="shared" si="16"/>
        <v>2.9040888760777758E-3</v>
      </c>
      <c r="AT17" s="391">
        <f t="shared" si="26"/>
        <v>0</v>
      </c>
      <c r="AU17" s="392">
        <f t="shared" si="17"/>
        <v>0</v>
      </c>
      <c r="AV17" s="392">
        <f t="shared" si="18"/>
        <v>0</v>
      </c>
      <c r="AW17" s="392">
        <f t="shared" si="19"/>
        <v>0</v>
      </c>
      <c r="AX17" s="393">
        <f t="shared" si="20"/>
        <v>0</v>
      </c>
      <c r="AY17" s="368">
        <f t="shared" si="27"/>
        <v>-1</v>
      </c>
      <c r="AZ17" s="394">
        <f t="shared" si="21"/>
        <v>0</v>
      </c>
      <c r="BA17" s="395">
        <f t="shared" si="21"/>
        <v>0</v>
      </c>
      <c r="BB17" s="395">
        <f t="shared" si="21"/>
        <v>0</v>
      </c>
      <c r="BC17" s="395">
        <f t="shared" si="21"/>
        <v>0</v>
      </c>
      <c r="BD17" s="395">
        <f t="shared" si="21"/>
        <v>0</v>
      </c>
      <c r="BE17" s="396">
        <f t="shared" si="28"/>
        <v>446130.39562893915</v>
      </c>
      <c r="BG17" s="397">
        <f>'Op Cost_FY2024'!E11</f>
        <v>1726724</v>
      </c>
      <c r="BH17" s="398">
        <f t="shared" si="22"/>
        <v>0.25836809798725169</v>
      </c>
      <c r="BI17" s="399">
        <f t="shared" si="23"/>
        <v>446130.39562893915</v>
      </c>
      <c r="BJ17" s="400">
        <f t="shared" si="24"/>
        <v>0</v>
      </c>
      <c r="BL17" s="548">
        <f t="shared" si="29"/>
        <v>0.38885304267530274</v>
      </c>
      <c r="BM17" s="548">
        <f t="shared" si="30"/>
        <v>0.29259350164876585</v>
      </c>
      <c r="BN17" s="549">
        <f t="shared" si="31"/>
        <v>0.61452789556436216</v>
      </c>
      <c r="BO17" s="155">
        <f t="shared" si="25"/>
        <v>446130.39562893915</v>
      </c>
      <c r="BP17" s="154">
        <f t="shared" si="32"/>
        <v>1.6830843423649782E-3</v>
      </c>
      <c r="BQ17" s="153">
        <f t="shared" si="33"/>
        <v>1.6830843423649782E-3</v>
      </c>
      <c r="BR17" s="152">
        <f t="shared" si="34"/>
        <v>2.8102903617729302E-3</v>
      </c>
      <c r="BS17" s="151">
        <f t="shared" si="35"/>
        <v>481646.92140516581</v>
      </c>
      <c r="BT17" s="540">
        <f t="shared" si="36"/>
        <v>518017.19999999995</v>
      </c>
      <c r="BU17" s="540">
        <f t="shared" si="37"/>
        <v>481646.92140516581</v>
      </c>
      <c r="BV17" s="540">
        <f t="shared" si="41"/>
        <v>0</v>
      </c>
      <c r="BW17" s="541">
        <f t="shared" si="38"/>
        <v>1.6830843423649782E-3</v>
      </c>
      <c r="BX17" s="542">
        <f t="shared" si="39"/>
        <v>3.8021884083647753E-3</v>
      </c>
      <c r="BY17" s="543">
        <f t="shared" si="40"/>
        <v>490423.36029795307</v>
      </c>
    </row>
    <row r="18" spans="1:77">
      <c r="A18" s="403" t="s">
        <v>104</v>
      </c>
      <c r="B18" s="382" t="s">
        <v>68</v>
      </c>
      <c r="C18" s="179">
        <f>'Sizing - Reim Exp_FY2024'!B12</f>
        <v>161701</v>
      </c>
      <c r="D18" s="178">
        <f>Ridership_FY2024!$E12</f>
        <v>5437</v>
      </c>
      <c r="E18" s="178">
        <f>'Revenue Hours_FY2024'!$F12</f>
        <v>3090</v>
      </c>
      <c r="F18" s="178">
        <f>'Revenue Miles_FY2024'!$F12</f>
        <v>52366</v>
      </c>
      <c r="G18" s="404">
        <f t="shared" si="0"/>
        <v>4.0487067568259309E-4</v>
      </c>
      <c r="H18" s="384">
        <f t="shared" si="1"/>
        <v>3.8222680804137919E-4</v>
      </c>
      <c r="J18" s="385">
        <f>Ridership_FY2024!B12/'Revenue Hours_FY2024'!C12</f>
        <v>1.4845748683220465</v>
      </c>
      <c r="K18" s="386">
        <f>Ridership_FY2024!C12/'Revenue Hours_FY2024'!D12</f>
        <v>2.5672572178477688</v>
      </c>
      <c r="L18" s="386">
        <f>Ridership_FY2024!D12/'Revenue Hours_FY2024'!E12</f>
        <v>1.3415032679738561</v>
      </c>
      <c r="M18" s="386">
        <f>Ridership_FY2024!E12/'Revenue Hours_FY2024'!F12</f>
        <v>1.759546925566343</v>
      </c>
      <c r="N18" s="387">
        <f t="shared" si="2"/>
        <v>1.2572030407161214</v>
      </c>
      <c r="O18" s="388">
        <f t="shared" si="3"/>
        <v>4.8053670531283916E-4</v>
      </c>
      <c r="P18" s="389">
        <f t="shared" si="4"/>
        <v>4.6108991638066761E-4</v>
      </c>
      <c r="Q18" s="385">
        <f>Ridership_FY2024!B12/'Revenue Miles_FY2024'!C12</f>
        <v>0.10409137671792978</v>
      </c>
      <c r="R18" s="386">
        <f>Ridership_FY2024!C12/'Revenue Miles_FY2024'!D12</f>
        <v>0.14723314580314975</v>
      </c>
      <c r="S18" s="386">
        <f>Ridership_FY2024!D12/'Revenue Miles_FY2024'!E12</f>
        <v>8.4451119157340354E-2</v>
      </c>
      <c r="T18" s="386">
        <f>Ridership_FY2024!E12/'Revenue Miles_FY2024'!F12</f>
        <v>0.10382691059084138</v>
      </c>
      <c r="U18" s="387">
        <f t="shared" si="5"/>
        <v>1.1688954873954811</v>
      </c>
      <c r="V18" s="388">
        <f t="shared" si="6"/>
        <v>4.4678319108114691E-4</v>
      </c>
      <c r="W18" s="389">
        <f t="shared" si="7"/>
        <v>4.3017689691984666E-4</v>
      </c>
      <c r="X18" s="385">
        <f>'Op Cost_FY2024'!B12/'Revenue Hours_FY2024'!C12</f>
        <v>60.401805869074494</v>
      </c>
      <c r="Y18" s="386">
        <f>'Op Cost_FY2024'!C12/'Revenue Hours_FY2024'!D12</f>
        <v>44.952755905511808</v>
      </c>
      <c r="Z18" s="386">
        <f>'Op Cost_FY2024'!D12/'Revenue Hours_FY2024'!E12</f>
        <v>49.306209150326801</v>
      </c>
      <c r="AA18" s="386">
        <f>'Op Cost_FY2024'!E12/'Revenue Hours_FY2024'!F12</f>
        <v>54.219417475728157</v>
      </c>
      <c r="AB18" s="387">
        <f t="shared" si="8"/>
        <v>0.90864591691387275</v>
      </c>
      <c r="AC18" s="388">
        <f t="shared" si="9"/>
        <v>4.2065539604203064E-4</v>
      </c>
      <c r="AD18" s="389">
        <f t="shared" si="10"/>
        <v>4.2299979053930185E-4</v>
      </c>
      <c r="AE18" s="385">
        <f>'Op Cost_FY2024'!B12/'Revenue Miles_FY2024'!C12</f>
        <v>4.2350892927800787</v>
      </c>
      <c r="AF18" s="386">
        <f>'Op Cost_FY2024'!C12/'Revenue Miles_FY2024'!D12</f>
        <v>2.5780570869475228</v>
      </c>
      <c r="AG18" s="386">
        <f>'Op Cost_FY2024'!D12/'Revenue Miles_FY2024'!E12</f>
        <v>3.103954081632653</v>
      </c>
      <c r="AH18" s="386">
        <f>'Op Cost_FY2024'!E12/'Revenue Miles_FY2024'!F12</f>
        <v>3.1993660008402398</v>
      </c>
      <c r="AI18" s="387">
        <f t="shared" si="11"/>
        <v>0.87542903217382262</v>
      </c>
      <c r="AJ18" s="388">
        <f t="shared" si="12"/>
        <v>4.3661655484768681E-4</v>
      </c>
      <c r="AK18" s="389">
        <f t="shared" si="13"/>
        <v>4.3711001562903419E-4</v>
      </c>
      <c r="AL18" s="385">
        <f>'Op Cost_FY2024'!B12/Ridership_FY2024!B12</f>
        <v>40.686264571718198</v>
      </c>
      <c r="AM18" s="386">
        <f>'Op Cost_FY2024'!C12/Ridership_FY2024!C12</f>
        <v>17.510031948881789</v>
      </c>
      <c r="AN18" s="386">
        <f>'Op Cost_FY2024'!D12/Ridership_FY2024!D12</f>
        <v>36.754445797807549</v>
      </c>
      <c r="AO18" s="386">
        <f>'Op Cost_FY2024'!E12/Ridership_FY2024!E12</f>
        <v>30.814419716755562</v>
      </c>
      <c r="AP18" s="390">
        <f t="shared" si="14"/>
        <v>0.79388736805371352</v>
      </c>
      <c r="AQ18" s="388">
        <f t="shared" si="15"/>
        <v>4.8146226205669789E-4</v>
      </c>
      <c r="AR18" s="389">
        <f t="shared" si="16"/>
        <v>5.0968969259447886E-4</v>
      </c>
      <c r="AT18" s="391">
        <f t="shared" si="26"/>
        <v>0</v>
      </c>
      <c r="AU18" s="392">
        <f t="shared" si="17"/>
        <v>0</v>
      </c>
      <c r="AV18" s="392">
        <f t="shared" si="18"/>
        <v>0</v>
      </c>
      <c r="AW18" s="392">
        <f t="shared" si="19"/>
        <v>0</v>
      </c>
      <c r="AX18" s="393">
        <f t="shared" si="20"/>
        <v>0</v>
      </c>
      <c r="AY18" s="368">
        <f t="shared" si="27"/>
        <v>-1</v>
      </c>
      <c r="AZ18" s="394">
        <f t="shared" si="21"/>
        <v>0</v>
      </c>
      <c r="BA18" s="395">
        <f t="shared" si="21"/>
        <v>0</v>
      </c>
      <c r="BB18" s="395">
        <f t="shared" si="21"/>
        <v>0</v>
      </c>
      <c r="BC18" s="395">
        <f t="shared" si="21"/>
        <v>0</v>
      </c>
      <c r="BD18" s="395">
        <f t="shared" si="21"/>
        <v>0</v>
      </c>
      <c r="BE18" s="396">
        <f t="shared" si="28"/>
        <v>48391.006913818877</v>
      </c>
      <c r="BG18" s="397">
        <f>'Op Cost_FY2024'!E12</f>
        <v>167538</v>
      </c>
      <c r="BH18" s="398">
        <f t="shared" si="22"/>
        <v>0.28883600683915817</v>
      </c>
      <c r="BI18" s="399">
        <f t="shared" si="23"/>
        <v>48391.006913818877</v>
      </c>
      <c r="BJ18" s="400">
        <f t="shared" si="24"/>
        <v>0</v>
      </c>
      <c r="BL18" s="548">
        <f t="shared" si="29"/>
        <v>0.19651831489743721</v>
      </c>
      <c r="BM18" s="548">
        <f t="shared" si="30"/>
        <v>0.16751237296829424</v>
      </c>
      <c r="BN18" s="549">
        <f t="shared" si="31"/>
        <v>0.45752170011503124</v>
      </c>
      <c r="BO18" s="155">
        <f t="shared" si="25"/>
        <v>48391.006913818877</v>
      </c>
      <c r="BP18" s="154">
        <f t="shared" si="32"/>
        <v>1.2222410148532328E-4</v>
      </c>
      <c r="BQ18" s="153">
        <f t="shared" si="33"/>
        <v>1.2222410148532328E-4</v>
      </c>
      <c r="BR18" s="152">
        <f t="shared" si="34"/>
        <v>2.040808091042626E-4</v>
      </c>
      <c r="BS18" s="151">
        <f t="shared" si="35"/>
        <v>50970.185711703678</v>
      </c>
      <c r="BT18" s="540">
        <f t="shared" si="36"/>
        <v>50261.4</v>
      </c>
      <c r="BU18" s="540">
        <f t="shared" si="37"/>
        <v>50261.4</v>
      </c>
      <c r="BV18" s="540">
        <f t="shared" si="41"/>
        <v>708.7857117036765</v>
      </c>
      <c r="BW18" s="541">
        <f t="shared" si="38"/>
        <v>0</v>
      </c>
      <c r="BX18" s="542">
        <f t="shared" si="39"/>
        <v>0</v>
      </c>
      <c r="BY18" s="543">
        <f t="shared" si="40"/>
        <v>50261.4</v>
      </c>
    </row>
    <row r="19" spans="1:77">
      <c r="A19" s="403" t="s">
        <v>104</v>
      </c>
      <c r="B19" s="382" t="s">
        <v>69</v>
      </c>
      <c r="C19" s="179">
        <f>'Sizing - Reim Exp_FY2024'!B13</f>
        <v>99106247</v>
      </c>
      <c r="D19" s="178">
        <f>Ridership_FY2024!$E13</f>
        <v>6381801</v>
      </c>
      <c r="E19" s="178">
        <f>'Revenue Hours_FY2024'!$F13</f>
        <v>886831</v>
      </c>
      <c r="F19" s="178">
        <f>'Revenue Miles_FY2024'!$F13</f>
        <v>12904187</v>
      </c>
      <c r="G19" s="404">
        <f t="shared" si="0"/>
        <v>0.19425404876544911</v>
      </c>
      <c r="H19" s="384">
        <f t="shared" si="1"/>
        <v>0.18338968334407399</v>
      </c>
      <c r="J19" s="385">
        <f>Ridership_FY2024!B13/'Revenue Hours_FY2024'!C13</f>
        <v>12.656717268983227</v>
      </c>
      <c r="K19" s="386">
        <f>Ridership_FY2024!C13/'Revenue Hours_FY2024'!D13</f>
        <v>12.193537039037592</v>
      </c>
      <c r="L19" s="386">
        <f>Ridership_FY2024!D13/'Revenue Hours_FY2024'!E13</f>
        <v>6.640780447028594</v>
      </c>
      <c r="M19" s="386">
        <f>Ridership_FY2024!E13/'Revenue Hours_FY2024'!F13</f>
        <v>7.1961861955660096</v>
      </c>
      <c r="N19" s="387">
        <f t="shared" si="2"/>
        <v>0.95618600608247295</v>
      </c>
      <c r="O19" s="388">
        <f t="shared" si="3"/>
        <v>0.17535464887349952</v>
      </c>
      <c r="P19" s="389">
        <f t="shared" si="4"/>
        <v>0.16825824019708432</v>
      </c>
      <c r="Q19" s="385">
        <f>Ridership_FY2024!B13/'Revenue Miles_FY2024'!C13</f>
        <v>0.95192676699971746</v>
      </c>
      <c r="R19" s="386">
        <f>Ridership_FY2024!C13/'Revenue Miles_FY2024'!D13</f>
        <v>0.90434093823673278</v>
      </c>
      <c r="S19" s="386">
        <f>Ridership_FY2024!D13/'Revenue Miles_FY2024'!E13</f>
        <v>0.46622665154015291</v>
      </c>
      <c r="T19" s="386">
        <f>Ridership_FY2024!E13/'Revenue Miles_FY2024'!F13</f>
        <v>0.49455273703023678</v>
      </c>
      <c r="U19" s="387">
        <f t="shared" si="5"/>
        <v>0.93066455285606553</v>
      </c>
      <c r="V19" s="388">
        <f t="shared" si="6"/>
        <v>0.17067427764782805</v>
      </c>
      <c r="W19" s="389">
        <f t="shared" si="7"/>
        <v>0.16433055810562958</v>
      </c>
      <c r="X19" s="385">
        <f>'Op Cost_FY2024'!B13/'Revenue Hours_FY2024'!C13</f>
        <v>88.602471990302604</v>
      </c>
      <c r="Y19" s="386">
        <f>'Op Cost_FY2024'!C13/'Revenue Hours_FY2024'!D13</f>
        <v>89.156752379659721</v>
      </c>
      <c r="Z19" s="386">
        <f>'Op Cost_FY2024'!D13/'Revenue Hours_FY2024'!E13</f>
        <v>107.97198556298591</v>
      </c>
      <c r="AA19" s="386">
        <f>'Op Cost_FY2024'!E13/'Revenue Hours_FY2024'!F13</f>
        <v>112.49719845156518</v>
      </c>
      <c r="AB19" s="387">
        <f t="shared" si="8"/>
        <v>1.0063255941642135</v>
      </c>
      <c r="AC19" s="388">
        <f t="shared" si="9"/>
        <v>0.18223692650526807</v>
      </c>
      <c r="AD19" s="389">
        <f t="shared" si="10"/>
        <v>0.1832525684100634</v>
      </c>
      <c r="AE19" s="385">
        <f>'Op Cost_FY2024'!B13/'Revenue Miles_FY2024'!C13</f>
        <v>6.6638973532737733</v>
      </c>
      <c r="AF19" s="386">
        <f>'Op Cost_FY2024'!C13/'Revenue Miles_FY2024'!D13</f>
        <v>6.6123636512548227</v>
      </c>
      <c r="AG19" s="386">
        <f>'Op Cost_FY2024'!D13/'Revenue Miles_FY2024'!E13</f>
        <v>7.5803465708156237</v>
      </c>
      <c r="AH19" s="386">
        <f>'Op Cost_FY2024'!E13/'Revenue Miles_FY2024'!F13</f>
        <v>7.7312893094311175</v>
      </c>
      <c r="AI19" s="387">
        <f t="shared" si="11"/>
        <v>0.98247248937261578</v>
      </c>
      <c r="AJ19" s="388">
        <f t="shared" si="12"/>
        <v>0.18666139289170569</v>
      </c>
      <c r="AK19" s="389">
        <f t="shared" si="13"/>
        <v>0.18687235620897127</v>
      </c>
      <c r="AL19" s="385">
        <f>'Op Cost_FY2024'!B13/Ridership_FY2024!B13</f>
        <v>7.0004306888827621</v>
      </c>
      <c r="AM19" s="386">
        <f>'Op Cost_FY2024'!C13/Ridership_FY2024!C13</f>
        <v>7.311803957639567</v>
      </c>
      <c r="AN19" s="386">
        <f>'Op Cost_FY2024'!D13/Ridership_FY2024!D13</f>
        <v>16.258930170067252</v>
      </c>
      <c r="AO19" s="386">
        <f>'Op Cost_FY2024'!E13/Ridership_FY2024!E13</f>
        <v>15.632891561488677</v>
      </c>
      <c r="AP19" s="387">
        <f t="shared" si="14"/>
        <v>1.0641680221867109</v>
      </c>
      <c r="AQ19" s="388">
        <f t="shared" si="15"/>
        <v>0.1723315111153545</v>
      </c>
      <c r="AR19" s="389">
        <f t="shared" si="16"/>
        <v>0.18243505638326307</v>
      </c>
      <c r="AT19" s="391">
        <f t="shared" si="26"/>
        <v>0</v>
      </c>
      <c r="AU19" s="392">
        <f t="shared" si="17"/>
        <v>0</v>
      </c>
      <c r="AV19" s="392">
        <f t="shared" si="18"/>
        <v>0</v>
      </c>
      <c r="AW19" s="392">
        <f t="shared" si="19"/>
        <v>0</v>
      </c>
      <c r="AX19" s="393">
        <f t="shared" si="20"/>
        <v>0</v>
      </c>
      <c r="AY19" s="368">
        <f t="shared" si="27"/>
        <v>-1</v>
      </c>
      <c r="AZ19" s="394">
        <f t="shared" si="21"/>
        <v>0</v>
      </c>
      <c r="BA19" s="395">
        <f t="shared" si="21"/>
        <v>0</v>
      </c>
      <c r="BB19" s="395">
        <f t="shared" si="21"/>
        <v>0</v>
      </c>
      <c r="BC19" s="395">
        <f t="shared" si="21"/>
        <v>0</v>
      </c>
      <c r="BD19" s="395">
        <f t="shared" si="21"/>
        <v>0</v>
      </c>
      <c r="BE19" s="396">
        <f t="shared" si="28"/>
        <v>23217658.332498256</v>
      </c>
      <c r="BG19" s="397">
        <f>'Op Cost_FY2024'!E13</f>
        <v>99766003</v>
      </c>
      <c r="BH19" s="398">
        <f t="shared" si="22"/>
        <v>0.23272114381988679</v>
      </c>
      <c r="BI19" s="399">
        <f t="shared" si="23"/>
        <v>23217658.332498256</v>
      </c>
      <c r="BJ19" s="400">
        <f t="shared" si="24"/>
        <v>0</v>
      </c>
      <c r="BL19" s="548">
        <f t="shared" si="29"/>
        <v>0.80371961912050216</v>
      </c>
      <c r="BM19" s="548">
        <f t="shared" si="30"/>
        <v>0.79790202815884848</v>
      </c>
      <c r="BN19" s="549">
        <f t="shared" si="31"/>
        <v>0.90183352461798849</v>
      </c>
      <c r="BO19" s="155">
        <f t="shared" si="25"/>
        <v>23217658.332498256</v>
      </c>
      <c r="BP19" s="154">
        <f t="shared" si="32"/>
        <v>0.15612370393727509</v>
      </c>
      <c r="BQ19" s="153">
        <f t="shared" si="33"/>
        <v>0.15612370393727509</v>
      </c>
      <c r="BR19" s="152">
        <f t="shared" si="34"/>
        <v>0.26068387030604956</v>
      </c>
      <c r="BS19" s="151">
        <f t="shared" si="35"/>
        <v>26512188.1523032</v>
      </c>
      <c r="BT19" s="540">
        <f t="shared" si="36"/>
        <v>29929800.899999999</v>
      </c>
      <c r="BU19" s="540">
        <f t="shared" si="37"/>
        <v>26512188.1523032</v>
      </c>
      <c r="BV19" s="540">
        <f t="shared" si="41"/>
        <v>0</v>
      </c>
      <c r="BW19" s="541">
        <f t="shared" si="38"/>
        <v>0.15612370393727509</v>
      </c>
      <c r="BX19" s="542">
        <f t="shared" si="39"/>
        <v>0.35269280477481635</v>
      </c>
      <c r="BY19" s="543">
        <f t="shared" si="40"/>
        <v>27326294.797366373</v>
      </c>
    </row>
    <row r="20" spans="1:77">
      <c r="A20" s="403" t="s">
        <v>104</v>
      </c>
      <c r="B20" s="382" t="s">
        <v>70</v>
      </c>
      <c r="C20" s="179">
        <f>'Sizing - Reim Exp_FY2024'!B14</f>
        <v>1199104</v>
      </c>
      <c r="D20" s="178">
        <f>Ridership_FY2024!$E14</f>
        <v>63727</v>
      </c>
      <c r="E20" s="178">
        <f>'Revenue Hours_FY2024'!$F14</f>
        <v>20345</v>
      </c>
      <c r="F20" s="178">
        <f>'Revenue Miles_FY2024'!$F14</f>
        <v>483018</v>
      </c>
      <c r="G20" s="404">
        <f t="shared" si="0"/>
        <v>3.3555387419838289E-3</v>
      </c>
      <c r="H20" s="384">
        <f t="shared" si="1"/>
        <v>3.1678680122863906E-3</v>
      </c>
      <c r="J20" s="385">
        <f>Ridership_FY2024!B14/'Revenue Hours_FY2024'!C14</f>
        <v>5.3304602970841737</v>
      </c>
      <c r="K20" s="386">
        <f>Ridership_FY2024!C14/'Revenue Hours_FY2024'!D14</f>
        <v>5.1587647801630121</v>
      </c>
      <c r="L20" s="386">
        <f>Ridership_FY2024!D14/'Revenue Hours_FY2024'!E14</f>
        <v>2.5445369916707494</v>
      </c>
      <c r="M20" s="386">
        <f>Ridership_FY2024!E14/'Revenue Hours_FY2024'!F14</f>
        <v>3.1323175227328584</v>
      </c>
      <c r="N20" s="387">
        <f t="shared" si="2"/>
        <v>0.96244724110818003</v>
      </c>
      <c r="O20" s="388">
        <f t="shared" si="3"/>
        <v>3.0489058286198908E-3</v>
      </c>
      <c r="P20" s="389">
        <f t="shared" si="4"/>
        <v>2.9255199821950299E-3</v>
      </c>
      <c r="Q20" s="385">
        <f>Ridership_FY2024!B14/'Revenue Miles_FY2024'!C14</f>
        <v>0.21260136238851965</v>
      </c>
      <c r="R20" s="386">
        <f>Ridership_FY2024!C14/'Revenue Miles_FY2024'!D14</f>
        <v>0.22008311029377553</v>
      </c>
      <c r="S20" s="386">
        <f>Ridership_FY2024!D14/'Revenue Miles_FY2024'!E14</f>
        <v>0.1120356208297289</v>
      </c>
      <c r="T20" s="386">
        <f>Ridership_FY2024!E14/'Revenue Miles_FY2024'!F14</f>
        <v>0.13193504175827817</v>
      </c>
      <c r="U20" s="387">
        <f t="shared" si="5"/>
        <v>0.98618094333957085</v>
      </c>
      <c r="V20" s="388">
        <f t="shared" si="6"/>
        <v>3.1240910647318439E-3</v>
      </c>
      <c r="W20" s="389">
        <f t="shared" si="7"/>
        <v>3.007973054378576E-3</v>
      </c>
      <c r="X20" s="385">
        <f>'Op Cost_FY2024'!B14/'Revenue Hours_FY2024'!C14</f>
        <v>53.481447521242131</v>
      </c>
      <c r="Y20" s="386">
        <f>'Op Cost_FY2024'!C14/'Revenue Hours_FY2024'!D14</f>
        <v>42.671162897485935</v>
      </c>
      <c r="Z20" s="386">
        <f>'Op Cost_FY2024'!D14/'Revenue Hours_FY2024'!E14</f>
        <v>48.696570308672221</v>
      </c>
      <c r="AA20" s="386">
        <f>'Op Cost_FY2024'!E14/'Revenue Hours_FY2024'!F14</f>
        <v>59.030916687146721</v>
      </c>
      <c r="AB20" s="387">
        <f t="shared" si="8"/>
        <v>0.9757458596773475</v>
      </c>
      <c r="AC20" s="388">
        <f t="shared" si="9"/>
        <v>3.2466117902195534E-3</v>
      </c>
      <c r="AD20" s="389">
        <f t="shared" si="10"/>
        <v>3.2647057904092143E-3</v>
      </c>
      <c r="AE20" s="385">
        <f>'Op Cost_FY2024'!B14/'Revenue Miles_FY2024'!C14</f>
        <v>2.1330669345283084</v>
      </c>
      <c r="AF20" s="386">
        <f>'Op Cost_FY2024'!C14/'Revenue Miles_FY2024'!D14</f>
        <v>1.8204362188489445</v>
      </c>
      <c r="AG20" s="386">
        <f>'Op Cost_FY2024'!D14/'Revenue Miles_FY2024'!E14</f>
        <v>2.1441034281165527</v>
      </c>
      <c r="AH20" s="386">
        <f>'Op Cost_FY2024'!E14/'Revenue Miles_FY2024'!F14</f>
        <v>2.4864166552799274</v>
      </c>
      <c r="AI20" s="387">
        <f t="shared" si="11"/>
        <v>0.99284699161436885</v>
      </c>
      <c r="AJ20" s="388">
        <f t="shared" si="12"/>
        <v>3.1906910521382944E-3</v>
      </c>
      <c r="AK20" s="389">
        <f t="shared" si="13"/>
        <v>3.1942971474229215E-3</v>
      </c>
      <c r="AL20" s="385">
        <f>'Op Cost_FY2024'!B14/Ridership_FY2024!B14</f>
        <v>10.033176225043292</v>
      </c>
      <c r="AM20" s="386">
        <f>'Op Cost_FY2024'!C14/Ridership_FY2024!C14</f>
        <v>8.2715852952957416</v>
      </c>
      <c r="AN20" s="386">
        <f>'Op Cost_FY2024'!D14/Ridership_FY2024!D14</f>
        <v>19.13769399622598</v>
      </c>
      <c r="AO20" s="386">
        <f>'Op Cost_FY2024'!E14/Ridership_FY2024!E14</f>
        <v>18.84576396189998</v>
      </c>
      <c r="AP20" s="390">
        <f t="shared" si="14"/>
        <v>1.0150741605069409</v>
      </c>
      <c r="AQ20" s="388">
        <f t="shared" si="15"/>
        <v>3.1208242072720254E-3</v>
      </c>
      <c r="AR20" s="389">
        <f t="shared" si="16"/>
        <v>3.3037935809360876E-3</v>
      </c>
      <c r="AT20" s="391">
        <f t="shared" si="26"/>
        <v>0</v>
      </c>
      <c r="AU20" s="392">
        <f t="shared" si="17"/>
        <v>0</v>
      </c>
      <c r="AV20" s="392">
        <f t="shared" si="18"/>
        <v>0</v>
      </c>
      <c r="AW20" s="392">
        <f t="shared" si="19"/>
        <v>0</v>
      </c>
      <c r="AX20" s="393">
        <f t="shared" si="20"/>
        <v>0</v>
      </c>
      <c r="AY20" s="368">
        <f t="shared" si="27"/>
        <v>-1</v>
      </c>
      <c r="AZ20" s="394">
        <f t="shared" si="21"/>
        <v>0</v>
      </c>
      <c r="BA20" s="395">
        <f t="shared" si="21"/>
        <v>0</v>
      </c>
      <c r="BB20" s="395">
        <f t="shared" si="21"/>
        <v>0</v>
      </c>
      <c r="BC20" s="395">
        <f t="shared" si="21"/>
        <v>0</v>
      </c>
      <c r="BD20" s="395">
        <f t="shared" si="21"/>
        <v>0</v>
      </c>
      <c r="BE20" s="396">
        <f t="shared" si="28"/>
        <v>401061.14919082494</v>
      </c>
      <c r="BG20" s="397">
        <f>'Op Cost_FY2024'!E14</f>
        <v>1200984</v>
      </c>
      <c r="BH20" s="398">
        <f t="shared" si="22"/>
        <v>0.33394379041754507</v>
      </c>
      <c r="BI20" s="399">
        <f t="shared" si="23"/>
        <v>360295.2</v>
      </c>
      <c r="BJ20" s="400">
        <f t="shared" si="24"/>
        <v>40765.949190824933</v>
      </c>
      <c r="BL20" s="548">
        <f t="shared" si="29"/>
        <v>0.34983878653480505</v>
      </c>
      <c r="BM20" s="548">
        <f t="shared" si="30"/>
        <v>0.21286149994093809</v>
      </c>
      <c r="BN20" s="549">
        <f t="shared" si="31"/>
        <v>0.74808671727876153</v>
      </c>
      <c r="BO20" s="155">
        <f t="shared" si="25"/>
        <v>0</v>
      </c>
      <c r="BP20" s="154">
        <f t="shared" si="32"/>
        <v>1.6305600505495843E-3</v>
      </c>
      <c r="BQ20" s="153">
        <f t="shared" si="33"/>
        <v>0</v>
      </c>
      <c r="BR20" s="152">
        <f t="shared" si="34"/>
        <v>0</v>
      </c>
      <c r="BS20" s="151">
        <f t="shared" si="35"/>
        <v>360295.2</v>
      </c>
      <c r="BT20" s="540">
        <f t="shared" si="36"/>
        <v>360295.2</v>
      </c>
      <c r="BU20" s="540">
        <f t="shared" si="37"/>
        <v>360295.2</v>
      </c>
      <c r="BV20" s="540">
        <f t="shared" si="41"/>
        <v>0</v>
      </c>
      <c r="BW20" s="541">
        <f t="shared" si="38"/>
        <v>0</v>
      </c>
      <c r="BX20" s="542">
        <f t="shared" si="39"/>
        <v>0</v>
      </c>
      <c r="BY20" s="543">
        <f t="shared" si="40"/>
        <v>360295.2</v>
      </c>
    </row>
    <row r="21" spans="1:77">
      <c r="A21" s="403" t="s">
        <v>104</v>
      </c>
      <c r="B21" s="382" t="s">
        <v>71</v>
      </c>
      <c r="C21" s="179">
        <f>'Sizing - Reim Exp_FY2024'!B15</f>
        <v>67079</v>
      </c>
      <c r="D21" s="178">
        <f>Ridership_FY2024!$E15</f>
        <v>3001</v>
      </c>
      <c r="E21" s="178">
        <f>'Revenue Hours_FY2024'!$F15</f>
        <v>880</v>
      </c>
      <c r="F21" s="178">
        <f>'Revenue Miles_FY2024'!$F15</f>
        <v>6777</v>
      </c>
      <c r="G21" s="383">
        <f t="shared" si="0"/>
        <v>1.2445998923312263E-4</v>
      </c>
      <c r="H21" s="384">
        <f t="shared" si="1"/>
        <v>1.174991108783979E-4</v>
      </c>
      <c r="J21" s="385">
        <f>Ridership_FY2024!B15/'Revenue Hours_FY2024'!C15</f>
        <v>8.7948148148148153</v>
      </c>
      <c r="K21" s="386">
        <f>Ridership_FY2024!C15/'Revenue Hours_FY2024'!D15</f>
        <v>8.9790310918293557</v>
      </c>
      <c r="L21" s="386">
        <f>Ridership_FY2024!D15/'Revenue Hours_FY2024'!E15</f>
        <v>1.0119225037257824</v>
      </c>
      <c r="M21" s="386">
        <f>Ridership_FY2024!E15/'Revenue Hours_FY2024'!F15</f>
        <v>3.4102272727272727</v>
      </c>
      <c r="N21" s="387">
        <f t="shared" si="2"/>
        <v>1.2867202290035118</v>
      </c>
      <c r="O21" s="388">
        <f t="shared" si="3"/>
        <v>1.5118848285716117E-4</v>
      </c>
      <c r="P21" s="389">
        <f t="shared" si="4"/>
        <v>1.4507005218871853E-4</v>
      </c>
      <c r="Q21" s="385">
        <f>Ridership_FY2024!B15/'Revenue Miles_FY2024'!C15</f>
        <v>0.80829191912315335</v>
      </c>
      <c r="R21" s="386">
        <f>Ridership_FY2024!C15/'Revenue Miles_FY2024'!D15</f>
        <v>0.71335018382352944</v>
      </c>
      <c r="S21" s="386">
        <f>Ridership_FY2024!D15/'Revenue Miles_FY2024'!E15</f>
        <v>0.14279705573080967</v>
      </c>
      <c r="T21" s="386">
        <f>Ridership_FY2024!E15/'Revenue Miles_FY2024'!F15</f>
        <v>0.44282130736314002</v>
      </c>
      <c r="U21" s="387">
        <f t="shared" si="5"/>
        <v>1.2471062801138642</v>
      </c>
      <c r="V21" s="388">
        <f t="shared" si="6"/>
        <v>1.4653387908424527E-4</v>
      </c>
      <c r="W21" s="389">
        <f t="shared" si="7"/>
        <v>1.4108742373577756E-4</v>
      </c>
      <c r="X21" s="385">
        <f>'Op Cost_FY2024'!B15/'Revenue Hours_FY2024'!C15</f>
        <v>61.958518518518517</v>
      </c>
      <c r="Y21" s="386">
        <f>'Op Cost_FY2024'!C15/'Revenue Hours_FY2024'!D15</f>
        <v>67.96963123644251</v>
      </c>
      <c r="Z21" s="386">
        <f>'Op Cost_FY2024'!D15/'Revenue Hours_FY2024'!E15</f>
        <v>58.488077496274215</v>
      </c>
      <c r="AA21" s="386">
        <f>'Op Cost_FY2024'!E15/'Revenue Hours_FY2024'!F15</f>
        <v>76.226136363636357</v>
      </c>
      <c r="AB21" s="387">
        <f t="shared" si="8"/>
        <v>1.0272513597950881</v>
      </c>
      <c r="AC21" s="388">
        <f t="shared" si="9"/>
        <v>1.1438204462619173E-4</v>
      </c>
      <c r="AD21" s="389">
        <f t="shared" si="10"/>
        <v>1.150195180510696E-4</v>
      </c>
      <c r="AE21" s="385">
        <f>'Op Cost_FY2024'!B15/'Revenue Miles_FY2024'!C15</f>
        <v>5.6943290897950849</v>
      </c>
      <c r="AF21" s="386">
        <f>'Op Cost_FY2024'!C15/'Revenue Miles_FY2024'!D15</f>
        <v>5.399931066176471</v>
      </c>
      <c r="AG21" s="386">
        <f>'Op Cost_FY2024'!D15/'Revenue Miles_FY2024'!E15</f>
        <v>8.2535226077812833</v>
      </c>
      <c r="AH21" s="386">
        <f>'Op Cost_FY2024'!E15/'Revenue Miles_FY2024'!F15</f>
        <v>9.8980374797107871</v>
      </c>
      <c r="AI21" s="387">
        <f t="shared" si="11"/>
        <v>1.1318796204022947</v>
      </c>
      <c r="AJ21" s="388">
        <f t="shared" si="12"/>
        <v>1.0380884041064027E-4</v>
      </c>
      <c r="AK21" s="389">
        <f t="shared" si="13"/>
        <v>1.0392616438961232E-4</v>
      </c>
      <c r="AL21" s="385">
        <f>'Op Cost_FY2024'!B15/Ridership_FY2024!B15</f>
        <v>7.0448917712456831</v>
      </c>
      <c r="AM21" s="386">
        <f>'Op Cost_FY2024'!C15/Ridership_FY2024!C15</f>
        <v>7.5698180061201485</v>
      </c>
      <c r="AN21" s="386">
        <f>'Op Cost_FY2024'!D15/Ridership_FY2024!D15</f>
        <v>57.798969072164951</v>
      </c>
      <c r="AO21" s="386">
        <f>'Op Cost_FY2024'!E15/Ridership_FY2024!E15</f>
        <v>22.352215928023991</v>
      </c>
      <c r="AP21" s="390">
        <f t="shared" si="14"/>
        <v>1.5866490338867194</v>
      </c>
      <c r="AQ21" s="388">
        <f t="shared" si="15"/>
        <v>7.4054884457066945E-5</v>
      </c>
      <c r="AR21" s="389">
        <f t="shared" si="16"/>
        <v>7.8396614373894965E-5</v>
      </c>
      <c r="AT21" s="391">
        <f t="shared" si="26"/>
        <v>0</v>
      </c>
      <c r="AU21" s="392">
        <f t="shared" si="17"/>
        <v>0</v>
      </c>
      <c r="AV21" s="392">
        <f t="shared" si="18"/>
        <v>0</v>
      </c>
      <c r="AW21" s="392">
        <f t="shared" si="19"/>
        <v>0</v>
      </c>
      <c r="AX21" s="393">
        <f t="shared" si="20"/>
        <v>0</v>
      </c>
      <c r="AY21" s="368">
        <f t="shared" si="27"/>
        <v>-1</v>
      </c>
      <c r="AZ21" s="394">
        <f t="shared" si="21"/>
        <v>0</v>
      </c>
      <c r="BA21" s="395">
        <f t="shared" si="21"/>
        <v>0</v>
      </c>
      <c r="BB21" s="395">
        <f t="shared" si="21"/>
        <v>0</v>
      </c>
      <c r="BC21" s="395">
        <f t="shared" si="21"/>
        <v>0</v>
      </c>
      <c r="BD21" s="395">
        <f t="shared" si="21"/>
        <v>0</v>
      </c>
      <c r="BE21" s="396">
        <f t="shared" si="28"/>
        <v>14875.723437662642</v>
      </c>
      <c r="BG21" s="397">
        <f>'Op Cost_FY2024'!E15</f>
        <v>67079</v>
      </c>
      <c r="BH21" s="398">
        <f t="shared" si="22"/>
        <v>0.22176423974213452</v>
      </c>
      <c r="BI21" s="399">
        <f t="shared" si="23"/>
        <v>14875.723437662642</v>
      </c>
      <c r="BJ21" s="400">
        <f t="shared" si="24"/>
        <v>0</v>
      </c>
      <c r="BL21" s="548">
        <f t="shared" si="29"/>
        <v>0.38087766078642049</v>
      </c>
      <c r="BM21" s="548">
        <f t="shared" si="30"/>
        <v>0.71443951837920949</v>
      </c>
      <c r="BN21" s="549">
        <f t="shared" si="31"/>
        <v>0.63073235075509926</v>
      </c>
      <c r="BO21" s="155">
        <f t="shared" si="25"/>
        <v>14875.723437662642</v>
      </c>
      <c r="BP21" s="154">
        <f t="shared" si="32"/>
        <v>6.9229943878432076E-5</v>
      </c>
      <c r="BQ21" s="153">
        <f t="shared" si="33"/>
        <v>6.9229943878432076E-5</v>
      </c>
      <c r="BR21" s="152">
        <f t="shared" si="34"/>
        <v>1.1559506504246763E-4</v>
      </c>
      <c r="BS21" s="151">
        <f t="shared" si="35"/>
        <v>16336.617003335101</v>
      </c>
      <c r="BT21" s="540">
        <f t="shared" si="36"/>
        <v>20123.7</v>
      </c>
      <c r="BU21" s="540">
        <f t="shared" si="37"/>
        <v>16336.617003335101</v>
      </c>
      <c r="BV21" s="540">
        <f t="shared" si="41"/>
        <v>0</v>
      </c>
      <c r="BW21" s="541">
        <f t="shared" si="38"/>
        <v>6.9229943878432076E-5</v>
      </c>
      <c r="BX21" s="542">
        <f t="shared" si="39"/>
        <v>1.5639459265389432E-4</v>
      </c>
      <c r="BY21" s="543">
        <f t="shared" si="40"/>
        <v>16697.616364274076</v>
      </c>
    </row>
    <row r="22" spans="1:77">
      <c r="A22" s="403" t="s">
        <v>104</v>
      </c>
      <c r="B22" s="382" t="s">
        <v>72</v>
      </c>
      <c r="C22" s="179">
        <f>'Sizing - Reim Exp_FY2024'!B16</f>
        <v>7123342</v>
      </c>
      <c r="D22" s="178">
        <f>Ridership_FY2024!$E16</f>
        <v>1544283</v>
      </c>
      <c r="E22" s="178">
        <f>'Revenue Hours_FY2024'!$F16</f>
        <v>79332</v>
      </c>
      <c r="F22" s="178">
        <f>'Revenue Miles_FY2024'!$F16</f>
        <v>1099092</v>
      </c>
      <c r="G22" s="404">
        <f t="shared" si="0"/>
        <v>2.4722263263895098E-2</v>
      </c>
      <c r="H22" s="384">
        <f t="shared" si="1"/>
        <v>2.3339580617899373E-2</v>
      </c>
      <c r="J22" s="385">
        <f>Ridership_FY2024!B16/'Revenue Hours_FY2024'!C16</f>
        <v>23.927803085810158</v>
      </c>
      <c r="K22" s="386">
        <f>Ridership_FY2024!C16/'Revenue Hours_FY2024'!D16</f>
        <v>23.310953988801508</v>
      </c>
      <c r="L22" s="386">
        <f>Ridership_FY2024!D16/'Revenue Hours_FY2024'!E16</f>
        <v>14.316342020333447</v>
      </c>
      <c r="M22" s="386">
        <f>Ridership_FY2024!E16/'Revenue Hours_FY2024'!F16</f>
        <v>19.466079261836335</v>
      </c>
      <c r="N22" s="387">
        <f t="shared" si="2"/>
        <v>1.076344980447</v>
      </c>
      <c r="O22" s="388">
        <f t="shared" si="3"/>
        <v>2.5121440443814081E-2</v>
      </c>
      <c r="P22" s="389">
        <f t="shared" si="4"/>
        <v>2.4104803536410875E-2</v>
      </c>
      <c r="Q22" s="385">
        <f>Ridership_FY2024!B16/'Revenue Miles_FY2024'!C16</f>
        <v>1.6630463742338306</v>
      </c>
      <c r="R22" s="386">
        <f>Ridership_FY2024!C16/'Revenue Miles_FY2024'!D16</f>
        <v>1.6285925776934442</v>
      </c>
      <c r="S22" s="386">
        <f>Ridership_FY2024!D16/'Revenue Miles_FY2024'!E16</f>
        <v>1.0462325686324412</v>
      </c>
      <c r="T22" s="386">
        <f>Ridership_FY2024!E16/'Revenue Miles_FY2024'!F16</f>
        <v>1.4050534441156883</v>
      </c>
      <c r="U22" s="387">
        <f t="shared" si="5"/>
        <v>1.0964259555786009</v>
      </c>
      <c r="V22" s="388">
        <f t="shared" si="6"/>
        <v>2.5590121981784113E-2</v>
      </c>
      <c r="W22" s="389">
        <f t="shared" si="7"/>
        <v>2.4638973635704369E-2</v>
      </c>
      <c r="X22" s="385">
        <f>'Op Cost_FY2024'!B16/'Revenue Hours_FY2024'!C16</f>
        <v>80.153154301126648</v>
      </c>
      <c r="Y22" s="386">
        <f>'Op Cost_FY2024'!C16/'Revenue Hours_FY2024'!D16</f>
        <v>79.983720905617247</v>
      </c>
      <c r="Z22" s="386">
        <f>'Op Cost_FY2024'!D16/'Revenue Hours_FY2024'!E16</f>
        <v>90.654407919074401</v>
      </c>
      <c r="AA22" s="386">
        <f>'Op Cost_FY2024'!E16/'Revenue Hours_FY2024'!F16</f>
        <v>94.089194776382797</v>
      </c>
      <c r="AB22" s="387">
        <f t="shared" si="8"/>
        <v>0.98105796356384378</v>
      </c>
      <c r="AC22" s="388">
        <f t="shared" si="9"/>
        <v>2.3790215751488077E-2</v>
      </c>
      <c r="AD22" s="389">
        <f t="shared" si="10"/>
        <v>2.3922803259984249E-2</v>
      </c>
      <c r="AE22" s="385">
        <f>'Op Cost_FY2024'!B16/'Revenue Miles_FY2024'!C16</f>
        <v>5.5708588108092147</v>
      </c>
      <c r="AF22" s="386">
        <f>'Op Cost_FY2024'!C16/'Revenue Miles_FY2024'!D16</f>
        <v>5.5879692553882192</v>
      </c>
      <c r="AG22" s="386">
        <f>'Op Cost_FY2024'!D16/'Revenue Miles_FY2024'!E16</f>
        <v>6.6249879976545323</v>
      </c>
      <c r="AH22" s="386">
        <f>'Op Cost_FY2024'!E16/'Revenue Miles_FY2024'!F16</f>
        <v>6.7913186521237527</v>
      </c>
      <c r="AI22" s="387">
        <f t="shared" si="11"/>
        <v>0.99833996202258612</v>
      </c>
      <c r="AJ22" s="388">
        <f t="shared" si="12"/>
        <v>2.3378389632540169E-2</v>
      </c>
      <c r="AK22" s="389">
        <f t="shared" si="13"/>
        <v>2.3404811714540109E-2</v>
      </c>
      <c r="AL22" s="385">
        <f>'Op Cost_FY2024'!B16/Ridership_FY2024!B16</f>
        <v>3.3497916216411721</v>
      </c>
      <c r="AM22" s="386">
        <f>'Op Cost_FY2024'!C16/Ridership_FY2024!C16</f>
        <v>3.4311646337614974</v>
      </c>
      <c r="AN22" s="386">
        <f>'Op Cost_FY2024'!D16/Ridership_FY2024!D16</f>
        <v>6.3322326185221254</v>
      </c>
      <c r="AO22" s="386">
        <f>'Op Cost_FY2024'!E16/Ridership_FY2024!E16</f>
        <v>4.833494896984555</v>
      </c>
      <c r="AP22" s="387">
        <f t="shared" si="14"/>
        <v>0.9196236726899828</v>
      </c>
      <c r="AQ22" s="388">
        <f t="shared" si="15"/>
        <v>2.5379490884166758E-2</v>
      </c>
      <c r="AR22" s="389">
        <f t="shared" si="16"/>
        <v>2.6867453435908142E-2</v>
      </c>
      <c r="AT22" s="391">
        <f t="shared" si="26"/>
        <v>0</v>
      </c>
      <c r="AU22" s="392">
        <f t="shared" si="17"/>
        <v>0</v>
      </c>
      <c r="AV22" s="392">
        <f t="shared" si="18"/>
        <v>0</v>
      </c>
      <c r="AW22" s="392">
        <f t="shared" si="19"/>
        <v>0</v>
      </c>
      <c r="AX22" s="393">
        <f t="shared" si="20"/>
        <v>0</v>
      </c>
      <c r="AY22" s="368">
        <f t="shared" si="27"/>
        <v>-1</v>
      </c>
      <c r="AZ22" s="394">
        <f t="shared" si="21"/>
        <v>0</v>
      </c>
      <c r="BA22" s="395">
        <f t="shared" si="21"/>
        <v>0</v>
      </c>
      <c r="BB22" s="395">
        <f t="shared" si="21"/>
        <v>0</v>
      </c>
      <c r="BC22" s="395">
        <f t="shared" si="21"/>
        <v>0</v>
      </c>
      <c r="BD22" s="395">
        <f t="shared" si="21"/>
        <v>0</v>
      </c>
      <c r="BE22" s="396">
        <f t="shared" si="28"/>
        <v>2954857.6480907956</v>
      </c>
      <c r="BG22" s="397">
        <f>'Op Cost_FY2024'!E16</f>
        <v>7464284</v>
      </c>
      <c r="BH22" s="398">
        <f t="shared" si="22"/>
        <v>0.39586618731157547</v>
      </c>
      <c r="BI22" s="399">
        <f t="shared" si="23"/>
        <v>2239285.1999999997</v>
      </c>
      <c r="BJ22" s="400">
        <f t="shared" si="24"/>
        <v>715572.44809079589</v>
      </c>
      <c r="BL22" s="548">
        <f t="shared" si="29"/>
        <v>2.1741057533687176</v>
      </c>
      <c r="BM22" s="548">
        <f t="shared" si="30"/>
        <v>2.2668866407728316</v>
      </c>
      <c r="BN22" s="549">
        <f t="shared" si="31"/>
        <v>2.9167850587084612</v>
      </c>
      <c r="BO22" s="155">
        <f t="shared" si="25"/>
        <v>0</v>
      </c>
      <c r="BP22" s="154">
        <f t="shared" si="32"/>
        <v>5.9950995013041401E-2</v>
      </c>
      <c r="BQ22" s="153">
        <f t="shared" si="33"/>
        <v>0</v>
      </c>
      <c r="BR22" s="152">
        <f t="shared" si="34"/>
        <v>0</v>
      </c>
      <c r="BS22" s="151">
        <f t="shared" si="35"/>
        <v>2239285.1999999997</v>
      </c>
      <c r="BT22" s="540">
        <f t="shared" si="36"/>
        <v>2239285.1999999997</v>
      </c>
      <c r="BU22" s="540">
        <f t="shared" si="37"/>
        <v>2239285.1999999997</v>
      </c>
      <c r="BV22" s="540">
        <f t="shared" si="41"/>
        <v>0</v>
      </c>
      <c r="BW22" s="541">
        <f t="shared" si="38"/>
        <v>0</v>
      </c>
      <c r="BX22" s="542">
        <f t="shared" si="39"/>
        <v>0</v>
      </c>
      <c r="BY22" s="543">
        <f t="shared" si="40"/>
        <v>2239285.1999999997</v>
      </c>
    </row>
    <row r="23" spans="1:77">
      <c r="A23" s="403" t="s">
        <v>53</v>
      </c>
      <c r="B23" s="382" t="s">
        <v>73</v>
      </c>
      <c r="C23" s="179">
        <f>'Sizing - Reim Exp_FY2024'!B17</f>
        <v>3168403</v>
      </c>
      <c r="D23" s="178">
        <f>Ridership_FY2024!$E17</f>
        <v>228559</v>
      </c>
      <c r="E23" s="178">
        <f>'Revenue Hours_FY2024'!$F17</f>
        <v>35273</v>
      </c>
      <c r="F23" s="178">
        <f>'Revenue Miles_FY2024'!$F17</f>
        <v>531990</v>
      </c>
      <c r="G23" s="383">
        <f t="shared" si="0"/>
        <v>6.9612310347670747E-3</v>
      </c>
      <c r="H23" s="384">
        <f t="shared" si="1"/>
        <v>6.5718988266356242E-3</v>
      </c>
      <c r="J23" s="385">
        <f>Ridership_FY2024!B17/'Revenue Hours_FY2024'!C17</f>
        <v>8.9080882352941178</v>
      </c>
      <c r="K23" s="386">
        <f>Ridership_FY2024!C17/'Revenue Hours_FY2024'!D17</f>
        <v>8.8925454444382677</v>
      </c>
      <c r="L23" s="386">
        <f>Ridership_FY2024!D17/'Revenue Hours_FY2024'!E17</f>
        <v>5.7639186016175321</v>
      </c>
      <c r="M23" s="386">
        <f>Ridership_FY2024!E17/'Revenue Hours_FY2024'!F17</f>
        <v>6.4797153630255435</v>
      </c>
      <c r="N23" s="387">
        <f t="shared" si="2"/>
        <v>1.0455356770573143</v>
      </c>
      <c r="O23" s="388">
        <f t="shared" si="3"/>
        <v>6.8711546892586467E-3</v>
      </c>
      <c r="P23" s="389">
        <f t="shared" si="4"/>
        <v>6.593086659314247E-3</v>
      </c>
      <c r="Q23" s="385">
        <f>Ridership_FY2024!B17/'Revenue Miles_FY2024'!C17</f>
        <v>0.57308420056764431</v>
      </c>
      <c r="R23" s="386">
        <f>Ridership_FY2024!C17/'Revenue Miles_FY2024'!D17</f>
        <v>0.59288580032429927</v>
      </c>
      <c r="S23" s="386">
        <f>Ridership_FY2024!D17/'Revenue Miles_FY2024'!E17</f>
        <v>0.39323250859241093</v>
      </c>
      <c r="T23" s="386">
        <f>Ridership_FY2024!E17/'Revenue Miles_FY2024'!F17</f>
        <v>0.42963025620782347</v>
      </c>
      <c r="U23" s="387">
        <f t="shared" si="5"/>
        <v>1.0619919413280272</v>
      </c>
      <c r="V23" s="388">
        <f t="shared" si="6"/>
        <v>6.9793035931101505E-3</v>
      </c>
      <c r="W23" s="389">
        <f t="shared" si="7"/>
        <v>6.7198928300782066E-3</v>
      </c>
      <c r="X23" s="385">
        <f>'Op Cost_FY2024'!B17/'Revenue Hours_FY2024'!C17</f>
        <v>71.858939628482972</v>
      </c>
      <c r="Y23" s="386">
        <f>'Op Cost_FY2024'!C17/'Revenue Hours_FY2024'!D17</f>
        <v>81.611429206737455</v>
      </c>
      <c r="Z23" s="386">
        <f>'Op Cost_FY2024'!D17/'Revenue Hours_FY2024'!E17</f>
        <v>72.997808505087406</v>
      </c>
      <c r="AA23" s="386">
        <f>'Op Cost_FY2024'!E17/'Revenue Hours_FY2024'!F17</f>
        <v>89.842457403679873</v>
      </c>
      <c r="AB23" s="387">
        <f t="shared" si="8"/>
        <v>1.0250571937013797</v>
      </c>
      <c r="AC23" s="388">
        <f t="shared" si="9"/>
        <v>6.4112508716759019E-3</v>
      </c>
      <c r="AD23" s="389">
        <f t="shared" si="10"/>
        <v>6.4469820221748726E-3</v>
      </c>
      <c r="AE23" s="385">
        <f>'Op Cost_FY2024'!B17/'Revenue Miles_FY2024'!C17</f>
        <v>4.6229024548125279</v>
      </c>
      <c r="AF23" s="386">
        <f>'Op Cost_FY2024'!C17/'Revenue Miles_FY2024'!D17</f>
        <v>5.4412156590224692</v>
      </c>
      <c r="AG23" s="386">
        <f>'Op Cost_FY2024'!D17/'Revenue Miles_FY2024'!E17</f>
        <v>4.9801382261276927</v>
      </c>
      <c r="AH23" s="386">
        <f>'Op Cost_FY2024'!E17/'Revenue Miles_FY2024'!F17</f>
        <v>5.9569033252504751</v>
      </c>
      <c r="AI23" s="387">
        <f t="shared" si="11"/>
        <v>1.0411556949490044</v>
      </c>
      <c r="AJ23" s="388">
        <f t="shared" si="12"/>
        <v>6.3121191753722425E-3</v>
      </c>
      <c r="AK23" s="389">
        <f t="shared" si="13"/>
        <v>6.3192530854946465E-3</v>
      </c>
      <c r="AL23" s="385">
        <f>'Op Cost_FY2024'!B17/Ridership_FY2024!B17</f>
        <v>8.0667072137628431</v>
      </c>
      <c r="AM23" s="386">
        <f>'Op Cost_FY2024'!C17/Ridership_FY2024!C17</f>
        <v>9.1775105021004197</v>
      </c>
      <c r="AN23" s="386">
        <f>'Op Cost_FY2024'!D17/Ridership_FY2024!D17</f>
        <v>12.664614743969837</v>
      </c>
      <c r="AO23" s="386">
        <f>'Op Cost_FY2024'!E17/Ridership_FY2024!E17</f>
        <v>13.865185794477576</v>
      </c>
      <c r="AP23" s="390">
        <f t="shared" si="14"/>
        <v>1.033331970083422</v>
      </c>
      <c r="AQ23" s="388">
        <f t="shared" si="15"/>
        <v>6.3599104807577642E-3</v>
      </c>
      <c r="AR23" s="389">
        <f t="shared" si="16"/>
        <v>6.7327827606228768E-3</v>
      </c>
      <c r="AT23" s="391">
        <f t="shared" si="26"/>
        <v>0</v>
      </c>
      <c r="AU23" s="392">
        <f t="shared" si="17"/>
        <v>0</v>
      </c>
      <c r="AV23" s="392">
        <f t="shared" si="18"/>
        <v>0</v>
      </c>
      <c r="AW23" s="392">
        <f t="shared" si="19"/>
        <v>0</v>
      </c>
      <c r="AX23" s="393">
        <f t="shared" si="20"/>
        <v>0</v>
      </c>
      <c r="AY23" s="368">
        <f t="shared" si="27"/>
        <v>-1</v>
      </c>
      <c r="AZ23" s="394">
        <f t="shared" si="21"/>
        <v>0</v>
      </c>
      <c r="BA23" s="395">
        <f t="shared" si="21"/>
        <v>0</v>
      </c>
      <c r="BB23" s="395">
        <f t="shared" si="21"/>
        <v>0</v>
      </c>
      <c r="BC23" s="395">
        <f t="shared" si="21"/>
        <v>0</v>
      </c>
      <c r="BD23" s="395">
        <f t="shared" si="21"/>
        <v>0</v>
      </c>
      <c r="BE23" s="396">
        <f t="shared" si="28"/>
        <v>832021.18445395457</v>
      </c>
      <c r="BG23" s="397">
        <f>'Op Cost_FY2024'!E17</f>
        <v>3169013</v>
      </c>
      <c r="BH23" s="398">
        <f t="shared" si="22"/>
        <v>0.26254899694446016</v>
      </c>
      <c r="BI23" s="399">
        <f t="shared" si="23"/>
        <v>832021.18445395457</v>
      </c>
      <c r="BJ23" s="400">
        <f t="shared" si="24"/>
        <v>0</v>
      </c>
      <c r="BL23" s="548">
        <f t="shared" si="29"/>
        <v>0.72369922373451534</v>
      </c>
      <c r="BM23" s="548">
        <f t="shared" si="30"/>
        <v>0.69315732604199332</v>
      </c>
      <c r="BN23" s="549">
        <f t="shared" si="31"/>
        <v>1.0168104420557713</v>
      </c>
      <c r="BO23" s="155">
        <f t="shared" si="25"/>
        <v>832021.18445395457</v>
      </c>
      <c r="BP23" s="154">
        <f t="shared" si="32"/>
        <v>5.6690471497753952E-3</v>
      </c>
      <c r="BQ23" s="153">
        <f t="shared" si="33"/>
        <v>5.6690471497753952E-3</v>
      </c>
      <c r="BR23" s="152">
        <f t="shared" si="34"/>
        <v>9.465757695222678E-3</v>
      </c>
      <c r="BS23" s="151">
        <f t="shared" si="35"/>
        <v>951649.6868133333</v>
      </c>
      <c r="BT23" s="540">
        <f t="shared" si="36"/>
        <v>950703.89999999991</v>
      </c>
      <c r="BU23" s="540">
        <f t="shared" si="37"/>
        <v>950703.89999999991</v>
      </c>
      <c r="BV23" s="540">
        <f>BS23-BU23</f>
        <v>945.78681333339773</v>
      </c>
      <c r="BW23" s="541">
        <f t="shared" si="38"/>
        <v>0</v>
      </c>
      <c r="BX23" s="542">
        <f t="shared" si="39"/>
        <v>0</v>
      </c>
      <c r="BY23" s="543">
        <f t="shared" si="40"/>
        <v>950703.89999999991</v>
      </c>
    </row>
    <row r="24" spans="1:77">
      <c r="A24" s="403" t="s">
        <v>53</v>
      </c>
      <c r="B24" s="382" t="s">
        <v>74</v>
      </c>
      <c r="C24" s="179">
        <f>'Sizing - Reim Exp_FY2024'!B18</f>
        <v>605988</v>
      </c>
      <c r="D24" s="178">
        <f>Ridership_FY2024!$E18</f>
        <v>77681</v>
      </c>
      <c r="E24" s="178">
        <f>'Revenue Hours_FY2024'!$F18</f>
        <v>11837</v>
      </c>
      <c r="F24" s="178">
        <f>'Revenue Miles_FY2024'!$F18</f>
        <v>174059</v>
      </c>
      <c r="G24" s="383">
        <f t="shared" si="0"/>
        <v>1.9897381227359252E-3</v>
      </c>
      <c r="H24" s="384">
        <f t="shared" si="1"/>
        <v>1.8784547688206325E-3</v>
      </c>
      <c r="J24" s="385">
        <f>Ridership_FY2024!B18/'Revenue Hours_FY2024'!C18</f>
        <v>10.856297723051524</v>
      </c>
      <c r="K24" s="386">
        <f>Ridership_FY2024!C18/'Revenue Hours_FY2024'!D18</f>
        <v>12.121389319430746</v>
      </c>
      <c r="L24" s="386">
        <f>Ridership_FY2024!D18/'Revenue Hours_FY2024'!E18</f>
        <v>6.5520235467255334</v>
      </c>
      <c r="M24" s="386">
        <f>Ridership_FY2024!E18/'Revenue Hours_FY2024'!F18</f>
        <v>6.5625580805947452</v>
      </c>
      <c r="N24" s="387">
        <f t="shared" si="2"/>
        <v>0.98357091089663873</v>
      </c>
      <c r="O24" s="388">
        <f t="shared" si="3"/>
        <v>1.8475934680470445E-3</v>
      </c>
      <c r="P24" s="389">
        <f t="shared" si="4"/>
        <v>1.7728234040574919E-3</v>
      </c>
      <c r="Q24" s="385">
        <f>Ridership_FY2024!B18/'Revenue Miles_FY2024'!C18</f>
        <v>0.71788643403976582</v>
      </c>
      <c r="R24" s="386">
        <f>Ridership_FY2024!C18/'Revenue Miles_FY2024'!D18</f>
        <v>0.79351997048242784</v>
      </c>
      <c r="S24" s="386">
        <f>Ridership_FY2024!D18/'Revenue Miles_FY2024'!E18</f>
        <v>0.47317713453679738</v>
      </c>
      <c r="T24" s="386">
        <f>Ridership_FY2024!E18/'Revenue Miles_FY2024'!F18</f>
        <v>0.44629120011030743</v>
      </c>
      <c r="U24" s="387">
        <f t="shared" si="5"/>
        <v>1.0034455573175893</v>
      </c>
      <c r="V24" s="388">
        <f t="shared" si="6"/>
        <v>1.8849270923951031E-3</v>
      </c>
      <c r="W24" s="389">
        <f t="shared" si="7"/>
        <v>1.8148670400167397E-3</v>
      </c>
      <c r="X24" s="385">
        <f>'Op Cost_FY2024'!B18/'Revenue Hours_FY2024'!C18</f>
        <v>48.505056063837102</v>
      </c>
      <c r="Y24" s="386">
        <f>'Op Cost_FY2024'!C18/'Revenue Hours_FY2024'!D18</f>
        <v>47.958362688459914</v>
      </c>
      <c r="Z24" s="386">
        <f>'Op Cost_FY2024'!D18/'Revenue Hours_FY2024'!E18</f>
        <v>45.519278881530539</v>
      </c>
      <c r="AA24" s="386">
        <f>'Op Cost_FY2024'!E18/'Revenue Hours_FY2024'!F18</f>
        <v>51.194390470558417</v>
      </c>
      <c r="AB24" s="387">
        <f t="shared" si="8"/>
        <v>0.956622704001726</v>
      </c>
      <c r="AC24" s="388">
        <f t="shared" si="9"/>
        <v>1.9636318069419807E-3</v>
      </c>
      <c r="AD24" s="389">
        <f t="shared" si="10"/>
        <v>1.9745755096643902E-3</v>
      </c>
      <c r="AE24" s="385">
        <f>'Op Cost_FY2024'!B18/'Revenue Miles_FY2024'!C18</f>
        <v>3.2074582531602962</v>
      </c>
      <c r="AF24" s="386">
        <f>'Op Cost_FY2024'!C18/'Revenue Miles_FY2024'!D18</f>
        <v>3.1395673830827415</v>
      </c>
      <c r="AG24" s="386">
        <f>'Op Cost_FY2024'!D18/'Revenue Miles_FY2024'!E18</f>
        <v>3.2873328054671349</v>
      </c>
      <c r="AH24" s="386">
        <f>'Op Cost_FY2024'!E18/'Revenue Miles_FY2024'!F18</f>
        <v>3.4815091434513583</v>
      </c>
      <c r="AI24" s="387">
        <f t="shared" si="11"/>
        <v>0.96467791237883294</v>
      </c>
      <c r="AJ24" s="388">
        <f t="shared" si="12"/>
        <v>1.9472351804847336E-3</v>
      </c>
      <c r="AK24" s="389">
        <f t="shared" si="13"/>
        <v>1.949435931195994E-3</v>
      </c>
      <c r="AL24" s="385">
        <f>'Op Cost_FY2024'!B18/Ridership_FY2024!B18</f>
        <v>4.4679187418418689</v>
      </c>
      <c r="AM24" s="386">
        <f>'Op Cost_FY2024'!C18/Ridership_FY2024!C18</f>
        <v>3.95650708220237</v>
      </c>
      <c r="AN24" s="386">
        <f>'Op Cost_FY2024'!D18/Ridership_FY2024!D18</f>
        <v>6.9473619190943596</v>
      </c>
      <c r="AO24" s="386">
        <f>'Op Cost_FY2024'!E18/Ridership_FY2024!E18</f>
        <v>7.8009809348489334</v>
      </c>
      <c r="AP24" s="390">
        <f t="shared" si="14"/>
        <v>1.0159518574690711</v>
      </c>
      <c r="AQ24" s="388">
        <f t="shared" si="15"/>
        <v>1.8489604158018077E-3</v>
      </c>
      <c r="AR24" s="389">
        <f t="shared" si="16"/>
        <v>1.9573622695238466E-3</v>
      </c>
      <c r="AT24" s="391">
        <f t="shared" si="26"/>
        <v>0</v>
      </c>
      <c r="AU24" s="392">
        <f t="shared" si="17"/>
        <v>0</v>
      </c>
      <c r="AV24" s="392">
        <f t="shared" si="18"/>
        <v>0</v>
      </c>
      <c r="AW24" s="392">
        <f t="shared" si="19"/>
        <v>0</v>
      </c>
      <c r="AX24" s="393">
        <f t="shared" si="20"/>
        <v>0</v>
      </c>
      <c r="AY24" s="368">
        <f t="shared" si="27"/>
        <v>-1</v>
      </c>
      <c r="AZ24" s="394">
        <f t="shared" si="21"/>
        <v>0</v>
      </c>
      <c r="BA24" s="395">
        <f t="shared" si="21"/>
        <v>0</v>
      </c>
      <c r="BB24" s="395">
        <f t="shared" si="21"/>
        <v>0</v>
      </c>
      <c r="BC24" s="395">
        <f t="shared" si="21"/>
        <v>0</v>
      </c>
      <c r="BD24" s="395">
        <f t="shared" si="21"/>
        <v>0</v>
      </c>
      <c r="BE24" s="396">
        <f t="shared" si="28"/>
        <v>237817.74536194897</v>
      </c>
      <c r="BG24" s="397">
        <f>'Op Cost_FY2024'!E18</f>
        <v>605988</v>
      </c>
      <c r="BH24" s="398">
        <f t="shared" si="22"/>
        <v>0.39244629491334643</v>
      </c>
      <c r="BI24" s="399">
        <f t="shared" si="23"/>
        <v>181796.4</v>
      </c>
      <c r="BJ24" s="400">
        <f t="shared" si="24"/>
        <v>56021.345361948974</v>
      </c>
      <c r="BL24" s="548">
        <f t="shared" si="29"/>
        <v>0.73295166879390683</v>
      </c>
      <c r="BM24" s="548">
        <f t="shared" si="30"/>
        <v>0.72003777768130961</v>
      </c>
      <c r="BN24" s="549">
        <f t="shared" si="31"/>
        <v>1.8072426807105326</v>
      </c>
      <c r="BO24" s="155">
        <f t="shared" si="25"/>
        <v>0</v>
      </c>
      <c r="BP24" s="154">
        <f t="shared" si="32"/>
        <v>2.3797555546927972E-3</v>
      </c>
      <c r="BQ24" s="153">
        <f t="shared" si="33"/>
        <v>0</v>
      </c>
      <c r="BR24" s="152">
        <f t="shared" si="34"/>
        <v>0</v>
      </c>
      <c r="BS24" s="151">
        <f t="shared" si="35"/>
        <v>181796.4</v>
      </c>
      <c r="BT24" s="540">
        <f t="shared" si="36"/>
        <v>181796.4</v>
      </c>
      <c r="BU24" s="540">
        <f t="shared" si="37"/>
        <v>181796.4</v>
      </c>
      <c r="BV24" s="540">
        <f t="shared" si="41"/>
        <v>0</v>
      </c>
      <c r="BW24" s="541">
        <f t="shared" si="38"/>
        <v>0</v>
      </c>
      <c r="BX24" s="542">
        <f t="shared" si="39"/>
        <v>0</v>
      </c>
      <c r="BY24" s="543">
        <f t="shared" si="40"/>
        <v>181796.4</v>
      </c>
    </row>
    <row r="25" spans="1:77">
      <c r="A25" s="403" t="s">
        <v>53</v>
      </c>
      <c r="B25" s="382" t="s">
        <v>75</v>
      </c>
      <c r="C25" s="179">
        <f>'Sizing - Reim Exp_FY2024'!B19</f>
        <v>7645579</v>
      </c>
      <c r="D25" s="178">
        <f>Ridership_FY2024!$E19</f>
        <v>445943</v>
      </c>
      <c r="E25" s="178">
        <f>'Revenue Hours_FY2024'!$F19</f>
        <v>74332</v>
      </c>
      <c r="F25" s="178">
        <f>'Revenue Miles_FY2024'!$F19</f>
        <v>1073547</v>
      </c>
      <c r="G25" s="383">
        <f t="shared" si="0"/>
        <v>1.4960892233227486E-2</v>
      </c>
      <c r="H25" s="384">
        <f t="shared" si="1"/>
        <v>1.4124149826649104E-2</v>
      </c>
      <c r="J25" s="385">
        <f>Ridership_FY2024!B19/'Revenue Hours_FY2024'!C19</f>
        <v>22.056571921738222</v>
      </c>
      <c r="K25" s="386">
        <f>Ridership_FY2024!C19/'Revenue Hours_FY2024'!D19</f>
        <v>21.272344057919085</v>
      </c>
      <c r="L25" s="386">
        <f>Ridership_FY2024!D19/'Revenue Hours_FY2024'!E19</f>
        <v>6.2106387495687709</v>
      </c>
      <c r="M25" s="386">
        <f>Ridership_FY2024!E19/'Revenue Hours_FY2024'!F19</f>
        <v>5.9993407953505891</v>
      </c>
      <c r="N25" s="387">
        <f t="shared" si="2"/>
        <v>0.76216084942828932</v>
      </c>
      <c r="O25" s="388">
        <f t="shared" si="3"/>
        <v>1.0764874029331307E-2</v>
      </c>
      <c r="P25" s="389">
        <f t="shared" si="4"/>
        <v>1.0329231484619691E-2</v>
      </c>
      <c r="Q25" s="385">
        <f>Ridership_FY2024!B19/'Revenue Miles_FY2024'!C19</f>
        <v>1.8438212046014921</v>
      </c>
      <c r="R25" s="386">
        <f>Ridership_FY2024!C19/'Revenue Miles_FY2024'!D19</f>
        <v>1.6130997617774709</v>
      </c>
      <c r="S25" s="386">
        <f>Ridership_FY2024!D19/'Revenue Miles_FY2024'!E19</f>
        <v>0.43710720015539234</v>
      </c>
      <c r="T25" s="386">
        <f>Ridership_FY2024!E19/'Revenue Miles_FY2024'!F19</f>
        <v>0.41539215330115964</v>
      </c>
      <c r="U25" s="387">
        <f t="shared" si="5"/>
        <v>0.71974151668977804</v>
      </c>
      <c r="V25" s="388">
        <f t="shared" si="6"/>
        <v>1.0165737018186093E-2</v>
      </c>
      <c r="W25" s="389">
        <f t="shared" si="7"/>
        <v>9.7878910681584944E-3</v>
      </c>
      <c r="X25" s="385">
        <f>'Op Cost_FY2024'!B19/'Revenue Hours_FY2024'!C19</f>
        <v>79.05589855938392</v>
      </c>
      <c r="Y25" s="386">
        <f>'Op Cost_FY2024'!C19/'Revenue Hours_FY2024'!D19</f>
        <v>85.260382965718563</v>
      </c>
      <c r="Z25" s="386">
        <f>'Op Cost_FY2024'!D19/'Revenue Hours_FY2024'!E19</f>
        <v>88.890998593530242</v>
      </c>
      <c r="AA25" s="386">
        <f>'Op Cost_FY2024'!E19/'Revenue Hours_FY2024'!F19</f>
        <v>103.53699617930367</v>
      </c>
      <c r="AB25" s="387">
        <f t="shared" si="8"/>
        <v>1.0248251681607927</v>
      </c>
      <c r="AC25" s="388">
        <f t="shared" si="9"/>
        <v>1.3782009132345056E-2</v>
      </c>
      <c r="AD25" s="389">
        <f t="shared" si="10"/>
        <v>1.3858818955005653E-2</v>
      </c>
      <c r="AE25" s="385">
        <f>'Op Cost_FY2024'!B19/'Revenue Miles_FY2024'!C19</f>
        <v>6.6086852766524222</v>
      </c>
      <c r="AF25" s="386">
        <f>'Op Cost_FY2024'!C19/'Revenue Miles_FY2024'!D19</f>
        <v>6.465366631744411</v>
      </c>
      <c r="AG25" s="386">
        <f>'Op Cost_FY2024'!D19/'Revenue Miles_FY2024'!E19</f>
        <v>6.2561834749980854</v>
      </c>
      <c r="AH25" s="386">
        <f>'Op Cost_FY2024'!E19/'Revenue Miles_FY2024'!F19</f>
        <v>7.168863589577354</v>
      </c>
      <c r="AI25" s="387">
        <f t="shared" si="11"/>
        <v>0.9727281441536425</v>
      </c>
      <c r="AJ25" s="388">
        <f t="shared" si="12"/>
        <v>1.4520141019398934E-2</v>
      </c>
      <c r="AK25" s="389">
        <f t="shared" si="13"/>
        <v>1.4536551574732106E-2</v>
      </c>
      <c r="AL25" s="385">
        <f>'Op Cost_FY2024'!B19/Ridership_FY2024!B19</f>
        <v>3.5842332543739066</v>
      </c>
      <c r="AM25" s="386">
        <f>'Op Cost_FY2024'!C19/Ridership_FY2024!C19</f>
        <v>4.008038922912144</v>
      </c>
      <c r="AN25" s="386">
        <f>'Op Cost_FY2024'!D19/Ridership_FY2024!D19</f>
        <v>14.312698287225656</v>
      </c>
      <c r="AO25" s="386">
        <f>'Op Cost_FY2024'!E19/Ridership_FY2024!E19</f>
        <v>17.258062129016487</v>
      </c>
      <c r="AP25" s="387">
        <f t="shared" si="14"/>
        <v>1.3818582831318029</v>
      </c>
      <c r="AQ25" s="388">
        <f t="shared" si="15"/>
        <v>1.0221127592504309E-2</v>
      </c>
      <c r="AR25" s="389">
        <f t="shared" si="16"/>
        <v>1.0820377402661259E-2</v>
      </c>
      <c r="AT25" s="391">
        <f t="shared" si="26"/>
        <v>0</v>
      </c>
      <c r="AU25" s="392">
        <f t="shared" si="17"/>
        <v>0</v>
      </c>
      <c r="AV25" s="392">
        <f t="shared" si="18"/>
        <v>0</v>
      </c>
      <c r="AW25" s="392">
        <f t="shared" si="19"/>
        <v>0</v>
      </c>
      <c r="AX25" s="393">
        <f t="shared" si="20"/>
        <v>0</v>
      </c>
      <c r="AY25" s="368">
        <f t="shared" si="27"/>
        <v>-1</v>
      </c>
      <c r="AZ25" s="394">
        <f t="shared" si="21"/>
        <v>0</v>
      </c>
      <c r="BA25" s="395">
        <f t="shared" si="21"/>
        <v>0</v>
      </c>
      <c r="BB25" s="395">
        <f t="shared" si="21"/>
        <v>0</v>
      </c>
      <c r="BC25" s="395">
        <f t="shared" si="21"/>
        <v>0</v>
      </c>
      <c r="BD25" s="395">
        <f t="shared" si="21"/>
        <v>0</v>
      </c>
      <c r="BE25" s="396">
        <f t="shared" si="28"/>
        <v>1788157.7574726208</v>
      </c>
      <c r="BG25" s="397">
        <f>'Op Cost_FY2024'!E19</f>
        <v>7696112</v>
      </c>
      <c r="BH25" s="398">
        <f t="shared" si="22"/>
        <v>0.23234559963168686</v>
      </c>
      <c r="BI25" s="399">
        <f t="shared" si="23"/>
        <v>1788157.7574726208</v>
      </c>
      <c r="BJ25" s="400">
        <f t="shared" si="24"/>
        <v>0</v>
      </c>
      <c r="BL25" s="548">
        <f t="shared" si="29"/>
        <v>0.67004768470057807</v>
      </c>
      <c r="BM25" s="548">
        <f t="shared" si="30"/>
        <v>0.67018584022112548</v>
      </c>
      <c r="BN25" s="549">
        <f t="shared" si="31"/>
        <v>0.81690896645715028</v>
      </c>
      <c r="BO25" s="155">
        <f t="shared" si="25"/>
        <v>1788157.7574726208</v>
      </c>
      <c r="BP25" s="154">
        <f t="shared" si="32"/>
        <v>1.0501487095659979E-2</v>
      </c>
      <c r="BQ25" s="153">
        <f t="shared" si="33"/>
        <v>1.0501487095659979E-2</v>
      </c>
      <c r="BR25" s="152">
        <f t="shared" si="34"/>
        <v>1.753461025473451E-2</v>
      </c>
      <c r="BS25" s="151">
        <f t="shared" si="35"/>
        <v>2009760.6372175738</v>
      </c>
      <c r="BT25" s="540">
        <f t="shared" si="36"/>
        <v>2308833.6</v>
      </c>
      <c r="BU25" s="540">
        <f t="shared" si="37"/>
        <v>2009760.6372175738</v>
      </c>
      <c r="BV25" s="540">
        <f t="shared" si="41"/>
        <v>0</v>
      </c>
      <c r="BW25" s="541">
        <f t="shared" si="38"/>
        <v>1.0501487095659979E-2</v>
      </c>
      <c r="BX25" s="542">
        <f t="shared" si="39"/>
        <v>2.3723488776329002E-2</v>
      </c>
      <c r="BY25" s="543">
        <f t="shared" si="40"/>
        <v>2064520.6141590429</v>
      </c>
    </row>
    <row r="26" spans="1:77">
      <c r="A26" s="403" t="s">
        <v>53</v>
      </c>
      <c r="B26" s="382" t="s">
        <v>76</v>
      </c>
      <c r="C26" s="179">
        <f>'Sizing - Reim Exp_FY2024'!B20</f>
        <v>107836</v>
      </c>
      <c r="D26" s="178">
        <f>Ridership_FY2024!$E20</f>
        <v>14878</v>
      </c>
      <c r="E26" s="178">
        <f>'Revenue Hours_FY2024'!$F20</f>
        <v>3043</v>
      </c>
      <c r="F26" s="178">
        <f>'Revenue Miles_FY2024'!$F20</f>
        <v>48696</v>
      </c>
      <c r="G26" s="404">
        <f t="shared" si="0"/>
        <v>4.3902978316868741E-4</v>
      </c>
      <c r="H26" s="384">
        <f t="shared" si="1"/>
        <v>4.1447544298620325E-4</v>
      </c>
      <c r="J26" s="385">
        <f>Ridership_FY2024!B20/'Revenue Hours_FY2024'!C20</f>
        <v>6.4826216484607748</v>
      </c>
      <c r="K26" s="386">
        <f>Ridership_FY2024!C20/'Revenue Hours_FY2024'!D20</f>
        <v>5.9558432934926957</v>
      </c>
      <c r="L26" s="386">
        <f>Ridership_FY2024!D20/'Revenue Hours_FY2024'!E20</f>
        <v>4.686815011624045</v>
      </c>
      <c r="M26" s="386">
        <f>Ridership_FY2024!E20/'Revenue Hours_FY2024'!F20</f>
        <v>4.8892540256325994</v>
      </c>
      <c r="N26" s="387">
        <f t="shared" si="2"/>
        <v>1.08799560674147</v>
      </c>
      <c r="O26" s="388">
        <f t="shared" si="3"/>
        <v>4.5094746107121375E-4</v>
      </c>
      <c r="P26" s="389">
        <f t="shared" si="4"/>
        <v>4.3269811612421031E-4</v>
      </c>
      <c r="Q26" s="385">
        <f>Ridership_FY2024!B20/'Revenue Miles_FY2024'!C20</f>
        <v>0.40805950867834895</v>
      </c>
      <c r="R26" s="386">
        <f>Ridership_FY2024!C20/'Revenue Miles_FY2024'!D20</f>
        <v>0.37067112984544176</v>
      </c>
      <c r="S26" s="386">
        <f>Ridership_FY2024!D20/'Revenue Miles_FY2024'!E20</f>
        <v>0.28707433174661295</v>
      </c>
      <c r="T26" s="386">
        <f>Ridership_FY2024!E20/'Revenue Miles_FY2024'!F20</f>
        <v>0.30552817479875144</v>
      </c>
      <c r="U26" s="387">
        <f t="shared" si="5"/>
        <v>1.0831024445606128</v>
      </c>
      <c r="V26" s="388">
        <f t="shared" si="6"/>
        <v>4.4891936550869963E-4</v>
      </c>
      <c r="W26" s="389">
        <f t="shared" si="7"/>
        <v>4.322336727898172E-4</v>
      </c>
      <c r="X26" s="385">
        <f>'Op Cost_FY2024'!B20/'Revenue Hours_FY2024'!C20</f>
        <v>33.555445216815627</v>
      </c>
      <c r="Y26" s="386">
        <f>'Op Cost_FY2024'!C20/'Revenue Hours_FY2024'!D20</f>
        <v>35.128818061088978</v>
      </c>
      <c r="Z26" s="386">
        <f>'Op Cost_FY2024'!D20/'Revenue Hours_FY2024'!E20</f>
        <v>38.42344735968117</v>
      </c>
      <c r="AA26" s="386">
        <f>'Op Cost_FY2024'!E20/'Revenue Hours_FY2024'!F20</f>
        <v>35.43739730529083</v>
      </c>
      <c r="AB26" s="387">
        <f t="shared" si="8"/>
        <v>0.9478174478679624</v>
      </c>
      <c r="AC26" s="388">
        <f t="shared" si="9"/>
        <v>4.3729459076590307E-4</v>
      </c>
      <c r="AD26" s="389">
        <f t="shared" si="10"/>
        <v>4.3973171873792986E-4</v>
      </c>
      <c r="AE26" s="385">
        <f>'Op Cost_FY2024'!B20/'Revenue Miles_FY2024'!C20</f>
        <v>2.1122038630633635</v>
      </c>
      <c r="AF26" s="386">
        <f>'Op Cost_FY2024'!C20/'Revenue Miles_FY2024'!D20</f>
        <v>2.1862963881312507</v>
      </c>
      <c r="AG26" s="386">
        <f>'Op Cost_FY2024'!D20/'Revenue Miles_FY2024'!E20</f>
        <v>2.3534928190731925</v>
      </c>
      <c r="AH26" s="386">
        <f>'Op Cost_FY2024'!E20/'Revenue Miles_FY2024'!F20</f>
        <v>2.2144734680466569</v>
      </c>
      <c r="AI26" s="387">
        <f t="shared" si="11"/>
        <v>0.95084288699013142</v>
      </c>
      <c r="AJ26" s="388">
        <f t="shared" si="12"/>
        <v>4.3590318511843161E-4</v>
      </c>
      <c r="AK26" s="389">
        <f t="shared" si="13"/>
        <v>4.3639583965461934E-4</v>
      </c>
      <c r="AL26" s="385">
        <f>'Op Cost_FY2024'!B20/Ridership_FY2024!B20</f>
        <v>5.1762152777777777</v>
      </c>
      <c r="AM26" s="386">
        <f>'Op Cost_FY2024'!C20/Ridership_FY2024!C20</f>
        <v>5.8982106025976924</v>
      </c>
      <c r="AN26" s="386">
        <f>'Op Cost_FY2024'!D20/Ridership_FY2024!D20</f>
        <v>8.1982001133786842</v>
      </c>
      <c r="AO26" s="386">
        <f>'Op Cost_FY2024'!E20/Ridership_FY2024!E20</f>
        <v>7.2480172066137918</v>
      </c>
      <c r="AP26" s="390">
        <f t="shared" si="14"/>
        <v>0.94501573326470911</v>
      </c>
      <c r="AQ26" s="388">
        <f t="shared" si="15"/>
        <v>4.3859105028265619E-4</v>
      </c>
      <c r="AR26" s="389">
        <f t="shared" si="16"/>
        <v>4.643050041727498E-4</v>
      </c>
      <c r="AT26" s="391">
        <f t="shared" si="26"/>
        <v>0</v>
      </c>
      <c r="AU26" s="392">
        <f t="shared" si="17"/>
        <v>0</v>
      </c>
      <c r="AV26" s="392">
        <f t="shared" si="18"/>
        <v>0</v>
      </c>
      <c r="AW26" s="392">
        <f t="shared" si="19"/>
        <v>0</v>
      </c>
      <c r="AX26" s="393">
        <f t="shared" si="20"/>
        <v>0</v>
      </c>
      <c r="AY26" s="368">
        <f t="shared" si="27"/>
        <v>-1</v>
      </c>
      <c r="AZ26" s="394">
        <f t="shared" si="21"/>
        <v>0</v>
      </c>
      <c r="BA26" s="395">
        <f t="shared" si="21"/>
        <v>0</v>
      </c>
      <c r="BB26" s="395">
        <f t="shared" si="21"/>
        <v>0</v>
      </c>
      <c r="BC26" s="395">
        <f t="shared" si="21"/>
        <v>0</v>
      </c>
      <c r="BD26" s="395">
        <f t="shared" si="21"/>
        <v>0</v>
      </c>
      <c r="BE26" s="396">
        <f t="shared" si="28"/>
        <v>52473.776316030089</v>
      </c>
      <c r="BG26" s="397">
        <f>'Op Cost_FY2024'!E20</f>
        <v>107836</v>
      </c>
      <c r="BH26" s="398">
        <f t="shared" si="22"/>
        <v>0.48660722129928863</v>
      </c>
      <c r="BI26" s="399">
        <f t="shared" si="23"/>
        <v>32350.799999999999</v>
      </c>
      <c r="BJ26" s="400">
        <f t="shared" si="24"/>
        <v>20122.97631603009</v>
      </c>
      <c r="BL26" s="548">
        <f t="shared" si="29"/>
        <v>0.54606555145641789</v>
      </c>
      <c r="BM26" s="548">
        <f t="shared" si="30"/>
        <v>0.49293337611574117</v>
      </c>
      <c r="BN26" s="549">
        <f t="shared" si="31"/>
        <v>1.9451203404985742</v>
      </c>
      <c r="BO26" s="155">
        <f t="shared" si="25"/>
        <v>0</v>
      </c>
      <c r="BP26" s="154">
        <f t="shared" si="32"/>
        <v>5.1076219258672576E-4</v>
      </c>
      <c r="BQ26" s="153">
        <f t="shared" si="33"/>
        <v>0</v>
      </c>
      <c r="BR26" s="152">
        <f t="shared" si="34"/>
        <v>0</v>
      </c>
      <c r="BS26" s="151">
        <f t="shared" si="35"/>
        <v>32350.799999999999</v>
      </c>
      <c r="BT26" s="540">
        <f t="shared" si="36"/>
        <v>32350.799999999999</v>
      </c>
      <c r="BU26" s="540">
        <f t="shared" si="37"/>
        <v>32350.799999999999</v>
      </c>
      <c r="BV26" s="540">
        <f t="shared" si="41"/>
        <v>0</v>
      </c>
      <c r="BW26" s="541">
        <f t="shared" si="38"/>
        <v>0</v>
      </c>
      <c r="BX26" s="542">
        <f t="shared" si="39"/>
        <v>0</v>
      </c>
      <c r="BY26" s="543">
        <f t="shared" si="40"/>
        <v>32350.799999999999</v>
      </c>
    </row>
    <row r="27" spans="1:77">
      <c r="A27" s="403" t="s">
        <v>103</v>
      </c>
      <c r="B27" s="382" t="s">
        <v>77</v>
      </c>
      <c r="C27" s="179">
        <f>'Sizing - Reim Exp_FY2024'!B21</f>
        <v>15647246</v>
      </c>
      <c r="D27" s="178">
        <f>Ridership_FY2024!$E21</f>
        <v>421563</v>
      </c>
      <c r="E27" s="178">
        <f>'Revenue Hours_FY2024'!$F21</f>
        <v>98775</v>
      </c>
      <c r="F27" s="178">
        <f>'Revenue Miles_FY2024'!$F21</f>
        <v>2248360.5</v>
      </c>
      <c r="G27" s="404">
        <f t="shared" si="0"/>
        <v>2.4467410815003868E-2</v>
      </c>
      <c r="H27" s="384">
        <f t="shared" si="1"/>
        <v>2.3098981720740441E-2</v>
      </c>
      <c r="J27" s="385">
        <f>Ridership_FY2024!B21/'Revenue Hours_FY2024'!C21</f>
        <v>9.2001258890004944</v>
      </c>
      <c r="K27" s="386">
        <f>Ridership_FY2024!C21/'Revenue Hours_FY2024'!D21</f>
        <v>9.5977192221126977</v>
      </c>
      <c r="L27" s="386">
        <f>Ridership_FY2024!D21/'Revenue Hours_FY2024'!E21</f>
        <v>3.470492023892092</v>
      </c>
      <c r="M27" s="386">
        <f>Ridership_FY2024!E21/'Revenue Hours_FY2024'!F21</f>
        <v>4.2679119210326499</v>
      </c>
      <c r="N27" s="387">
        <f t="shared" si="2"/>
        <v>0.90195672942429905</v>
      </c>
      <c r="O27" s="388">
        <f t="shared" si="3"/>
        <v>2.0834282005870716E-2</v>
      </c>
      <c r="P27" s="389">
        <f t="shared" si="4"/>
        <v>1.9991141658334224E-2</v>
      </c>
      <c r="Q27" s="385">
        <f>Ridership_FY2024!B21/'Revenue Miles_FY2024'!C21</f>
        <v>0.3814515427407344</v>
      </c>
      <c r="R27" s="386">
        <f>Ridership_FY2024!C21/'Revenue Miles_FY2024'!D21</f>
        <v>0.37124438856652447</v>
      </c>
      <c r="S27" s="386">
        <f>Ridership_FY2024!D21/'Revenue Miles_FY2024'!E21</f>
        <v>0.16305901321605187</v>
      </c>
      <c r="T27" s="386">
        <f>Ridership_FY2024!E21/'Revenue Miles_FY2024'!F21</f>
        <v>0.18749795684455406</v>
      </c>
      <c r="U27" s="387">
        <f t="shared" si="5"/>
        <v>0.91332005834349295</v>
      </c>
      <c r="V27" s="388">
        <f t="shared" si="6"/>
        <v>2.1096763332861937E-2</v>
      </c>
      <c r="W27" s="389">
        <f t="shared" si="7"/>
        <v>2.0312626720853166E-2</v>
      </c>
      <c r="X27" s="385">
        <f>'Op Cost_FY2024'!B21/'Revenue Hours_FY2024'!C21</f>
        <v>93.378558519513959</v>
      </c>
      <c r="Y27" s="386">
        <f>'Op Cost_FY2024'!C21/'Revenue Hours_FY2024'!D21</f>
        <v>112.24563612250527</v>
      </c>
      <c r="Z27" s="386">
        <f>'Op Cost_FY2024'!D21/'Revenue Hours_FY2024'!E21</f>
        <v>179.69728056645377</v>
      </c>
      <c r="AA27" s="386">
        <f>'Op Cost_FY2024'!E21/'Revenue Hours_FY2024'!F21</f>
        <v>158.41301948873704</v>
      </c>
      <c r="AB27" s="387">
        <f t="shared" si="8"/>
        <v>1.1234756688906935</v>
      </c>
      <c r="AC27" s="388">
        <f t="shared" si="9"/>
        <v>2.0560286582394879E-2</v>
      </c>
      <c r="AD27" s="389">
        <f t="shared" si="10"/>
        <v>2.0674873066199948E-2</v>
      </c>
      <c r="AE27" s="385">
        <f>'Op Cost_FY2024'!B21/'Revenue Miles_FY2024'!C21</f>
        <v>3.8716204143206845</v>
      </c>
      <c r="AF27" s="386">
        <f>'Op Cost_FY2024'!C21/'Revenue Miles_FY2024'!D21</f>
        <v>4.3417151082679135</v>
      </c>
      <c r="AG27" s="386">
        <f>'Op Cost_FY2024'!D21/'Revenue Miles_FY2024'!E21</f>
        <v>8.4429703468712045</v>
      </c>
      <c r="AH27" s="386">
        <f>'Op Cost_FY2024'!E21/'Revenue Miles_FY2024'!F21</f>
        <v>6.9594026402794391</v>
      </c>
      <c r="AI27" s="387">
        <f t="shared" si="11"/>
        <v>1.1730229212345462</v>
      </c>
      <c r="AJ27" s="388">
        <f t="shared" si="12"/>
        <v>1.9691841738633677E-2</v>
      </c>
      <c r="AK27" s="389">
        <f t="shared" si="13"/>
        <v>1.9714097311636182E-2</v>
      </c>
      <c r="AL27" s="385">
        <f>'Op Cost_FY2024'!B21/Ridership_FY2024!B21</f>
        <v>10.149704432974739</v>
      </c>
      <c r="AM27" s="386">
        <f>'Op Cost_FY2024'!C21/Ridership_FY2024!C21</f>
        <v>11.695032280575219</v>
      </c>
      <c r="AN27" s="386">
        <f>'Op Cost_FY2024'!D21/Ridership_FY2024!D21</f>
        <v>51.778617939287642</v>
      </c>
      <c r="AO27" s="386">
        <f>'Op Cost_FY2024'!E21/Ridership_FY2024!E21</f>
        <v>37.117218541475417</v>
      </c>
      <c r="AP27" s="387">
        <f t="shared" si="14"/>
        <v>1.303510424877655</v>
      </c>
      <c r="AQ27" s="388">
        <f t="shared" si="15"/>
        <v>1.7720596076482065E-2</v>
      </c>
      <c r="AR27" s="389">
        <f t="shared" si="16"/>
        <v>1.875952879095942E-2</v>
      </c>
      <c r="AT27" s="391">
        <f t="shared" si="26"/>
        <v>0</v>
      </c>
      <c r="AU27" s="392">
        <f t="shared" si="17"/>
        <v>0</v>
      </c>
      <c r="AV27" s="392">
        <f t="shared" si="18"/>
        <v>0</v>
      </c>
      <c r="AW27" s="392">
        <f t="shared" si="19"/>
        <v>0</v>
      </c>
      <c r="AX27" s="393">
        <f t="shared" si="20"/>
        <v>0</v>
      </c>
      <c r="AY27" s="368">
        <f t="shared" si="27"/>
        <v>-1</v>
      </c>
      <c r="AZ27" s="394">
        <f t="shared" si="21"/>
        <v>0</v>
      </c>
      <c r="BA27" s="395">
        <f t="shared" si="21"/>
        <v>0</v>
      </c>
      <c r="BB27" s="395">
        <f t="shared" si="21"/>
        <v>0</v>
      </c>
      <c r="BC27" s="395">
        <f t="shared" si="21"/>
        <v>0</v>
      </c>
      <c r="BD27" s="395">
        <f t="shared" si="21"/>
        <v>0</v>
      </c>
      <c r="BE27" s="396">
        <f t="shared" si="28"/>
        <v>2924397.1396938683</v>
      </c>
      <c r="BG27" s="397">
        <f>'Op Cost_FY2024'!E21</f>
        <v>15647246</v>
      </c>
      <c r="BH27" s="398">
        <f t="shared" si="22"/>
        <v>0.18689532584161253</v>
      </c>
      <c r="BI27" s="399">
        <f t="shared" si="23"/>
        <v>2924397.1396938683</v>
      </c>
      <c r="BJ27" s="400">
        <f t="shared" si="24"/>
        <v>0</v>
      </c>
      <c r="BL27" s="548">
        <f t="shared" si="29"/>
        <v>0.47666978735566368</v>
      </c>
      <c r="BM27" s="548">
        <f t="shared" si="30"/>
        <v>0.30250565579776201</v>
      </c>
      <c r="BN27" s="549">
        <f t="shared" si="31"/>
        <v>0.3798308777128464</v>
      </c>
      <c r="BO27" s="155">
        <f t="shared" si="25"/>
        <v>2924397.1396938683</v>
      </c>
      <c r="BP27" s="154">
        <f t="shared" si="32"/>
        <v>8.8863930802936218E-3</v>
      </c>
      <c r="BQ27" s="153">
        <f t="shared" si="33"/>
        <v>8.8863930802936218E-3</v>
      </c>
      <c r="BR27" s="152">
        <f t="shared" si="34"/>
        <v>1.4837845136972545E-2</v>
      </c>
      <c r="BS27" s="151">
        <f t="shared" si="35"/>
        <v>3111918.2287739604</v>
      </c>
      <c r="BT27" s="540">
        <f t="shared" si="36"/>
        <v>4694173.8</v>
      </c>
      <c r="BU27" s="540">
        <f t="shared" si="37"/>
        <v>3111918.2287739604</v>
      </c>
      <c r="BV27" s="540">
        <f t="shared" si="41"/>
        <v>0</v>
      </c>
      <c r="BW27" s="541">
        <f t="shared" si="38"/>
        <v>8.8863930802936218E-3</v>
      </c>
      <c r="BX27" s="542">
        <f t="shared" si="39"/>
        <v>2.0074894591787761E-2</v>
      </c>
      <c r="BY27" s="543">
        <f t="shared" si="40"/>
        <v>3158256.3022046098</v>
      </c>
    </row>
    <row r="28" spans="1:77">
      <c r="A28" s="403" t="s">
        <v>103</v>
      </c>
      <c r="B28" s="382" t="s">
        <v>78</v>
      </c>
      <c r="C28" s="179">
        <f>'Sizing - Reim Exp_FY2024'!B22</f>
        <v>26239078</v>
      </c>
      <c r="D28" s="178">
        <f>Ridership_FY2024!$E22</f>
        <v>1815957</v>
      </c>
      <c r="E28" s="178">
        <f>'Revenue Hours_FY2024'!$F22</f>
        <v>204460</v>
      </c>
      <c r="F28" s="178">
        <f>'Revenue Miles_FY2024'!$F22</f>
        <v>2083544</v>
      </c>
      <c r="G28" s="404">
        <f t="shared" si="0"/>
        <v>4.8281511950908233E-2</v>
      </c>
      <c r="H28" s="384">
        <f t="shared" si="1"/>
        <v>4.5581192486450026E-2</v>
      </c>
      <c r="J28" s="385">
        <f>Ridership_FY2024!B22/'Revenue Hours_FY2024'!C22</f>
        <v>13.865819939305384</v>
      </c>
      <c r="K28" s="386">
        <f>Ridership_FY2024!C22/'Revenue Hours_FY2024'!D22</f>
        <v>12.903471027599291</v>
      </c>
      <c r="L28" s="386">
        <f>Ridership_FY2024!D22/'Revenue Hours_FY2024'!E22</f>
        <v>7.8216167510040826</v>
      </c>
      <c r="M28" s="386">
        <f>Ridership_FY2024!E22/'Revenue Hours_FY2024'!F22</f>
        <v>8.8817225863249529</v>
      </c>
      <c r="N28" s="387">
        <f t="shared" si="2"/>
        <v>0.99856691724436875</v>
      </c>
      <c r="O28" s="388">
        <f t="shared" si="3"/>
        <v>4.5515870865516582E-2</v>
      </c>
      <c r="P28" s="389">
        <f t="shared" si="4"/>
        <v>4.367389391765901E-2</v>
      </c>
      <c r="Q28" s="385">
        <f>Ridership_FY2024!B22/'Revenue Miles_FY2024'!C22</f>
        <v>1.3701537016658529</v>
      </c>
      <c r="R28" s="386">
        <f>Ridership_FY2024!C22/'Revenue Miles_FY2024'!D22</f>
        <v>1.2587048387152435</v>
      </c>
      <c r="S28" s="386">
        <f>Ridership_FY2024!D22/'Revenue Miles_FY2024'!E22</f>
        <v>0.78433143162528551</v>
      </c>
      <c r="T28" s="386">
        <f>Ridership_FY2024!E22/'Revenue Miles_FY2024'!F22</f>
        <v>0.87157122671755427</v>
      </c>
      <c r="U28" s="387">
        <f t="shared" si="5"/>
        <v>1.0022577420680119</v>
      </c>
      <c r="V28" s="388">
        <f t="shared" si="6"/>
        <v>4.568410306223683E-2</v>
      </c>
      <c r="W28" s="389">
        <f t="shared" si="7"/>
        <v>4.3986090090641229E-2</v>
      </c>
      <c r="X28" s="385">
        <f>'Op Cost_FY2024'!B22/'Revenue Hours_FY2024'!C22</f>
        <v>71.878358997414864</v>
      </c>
      <c r="Y28" s="386">
        <f>'Op Cost_FY2024'!C22/'Revenue Hours_FY2024'!D22</f>
        <v>70.784446046283321</v>
      </c>
      <c r="Z28" s="386">
        <f>'Op Cost_FY2024'!D22/'Revenue Hours_FY2024'!E22</f>
        <v>115.12446224595757</v>
      </c>
      <c r="AA28" s="386">
        <f>'Op Cost_FY2024'!E22/'Revenue Hours_FY2024'!F22</f>
        <v>128.33355179497212</v>
      </c>
      <c r="AB28" s="387">
        <f t="shared" si="8"/>
        <v>1.1369244024920826</v>
      </c>
      <c r="AC28" s="388">
        <f t="shared" si="9"/>
        <v>4.0091665185951052E-2</v>
      </c>
      <c r="AD28" s="389">
        <f t="shared" si="10"/>
        <v>4.0315103848886903E-2</v>
      </c>
      <c r="AE28" s="385">
        <f>'Op Cost_FY2024'!B22/'Revenue Miles_FY2024'!C22</f>
        <v>7.1026740633492365</v>
      </c>
      <c r="AF28" s="386">
        <f>'Op Cost_FY2024'!C22/'Revenue Miles_FY2024'!D22</f>
        <v>6.9048649432129956</v>
      </c>
      <c r="AG28" s="386">
        <f>'Op Cost_FY2024'!D22/'Revenue Miles_FY2024'!E22</f>
        <v>11.544382339734495</v>
      </c>
      <c r="AH28" s="386">
        <f>'Op Cost_FY2024'!E22/'Revenue Miles_FY2024'!F22</f>
        <v>12.593483986899244</v>
      </c>
      <c r="AI28" s="387">
        <f t="shared" si="11"/>
        <v>1.1413899080937748</v>
      </c>
      <c r="AJ28" s="388">
        <f t="shared" si="12"/>
        <v>3.9934812953248175E-2</v>
      </c>
      <c r="AK28" s="389">
        <f t="shared" si="13"/>
        <v>3.9979946981685888E-2</v>
      </c>
      <c r="AL28" s="385">
        <f>'Op Cost_FY2024'!B22/Ridership_FY2024!B22</f>
        <v>5.1838520413539744</v>
      </c>
      <c r="AM28" s="386">
        <f>'Op Cost_FY2024'!C22/Ridership_FY2024!C22</f>
        <v>5.485690315023156</v>
      </c>
      <c r="AN28" s="386">
        <f>'Op Cost_FY2024'!D22/Ridership_FY2024!D22</f>
        <v>14.718755202519828</v>
      </c>
      <c r="AO28" s="386">
        <f>'Op Cost_FY2024'!E22/Ridership_FY2024!E22</f>
        <v>14.449173631313958</v>
      </c>
      <c r="AP28" s="387">
        <f t="shared" si="14"/>
        <v>1.1417394937986716</v>
      </c>
      <c r="AQ28" s="388">
        <f t="shared" si="15"/>
        <v>3.9922585435664695E-2</v>
      </c>
      <c r="AR28" s="389">
        <f t="shared" si="16"/>
        <v>4.2263188419707387E-2</v>
      </c>
      <c r="AT28" s="391">
        <f t="shared" si="26"/>
        <v>0</v>
      </c>
      <c r="AU28" s="392">
        <f t="shared" si="17"/>
        <v>0</v>
      </c>
      <c r="AV28" s="392">
        <f t="shared" si="18"/>
        <v>0</v>
      </c>
      <c r="AW28" s="392">
        <f t="shared" si="19"/>
        <v>0</v>
      </c>
      <c r="AX28" s="393">
        <f t="shared" si="20"/>
        <v>0</v>
      </c>
      <c r="AY28" s="368">
        <f t="shared" si="27"/>
        <v>-1</v>
      </c>
      <c r="AZ28" s="394">
        <f t="shared" si="21"/>
        <v>0</v>
      </c>
      <c r="BA28" s="395">
        <f t="shared" si="21"/>
        <v>0</v>
      </c>
      <c r="BB28" s="395">
        <f t="shared" si="21"/>
        <v>0</v>
      </c>
      <c r="BC28" s="395">
        <f t="shared" si="21"/>
        <v>0</v>
      </c>
      <c r="BD28" s="395">
        <f t="shared" si="21"/>
        <v>0</v>
      </c>
      <c r="BE28" s="396">
        <f t="shared" si="28"/>
        <v>5770709.3127626069</v>
      </c>
      <c r="BG28" s="397">
        <f>'Op Cost_FY2024'!E22</f>
        <v>26239078</v>
      </c>
      <c r="BH28" s="398">
        <f t="shared" si="22"/>
        <v>0.2199280520741852</v>
      </c>
      <c r="BI28" s="399">
        <f t="shared" si="23"/>
        <v>5770709.3127626069</v>
      </c>
      <c r="BJ28" s="400">
        <f t="shared" si="24"/>
        <v>0</v>
      </c>
      <c r="BL28" s="548">
        <f t="shared" si="29"/>
        <v>0.99197192793780775</v>
      </c>
      <c r="BM28" s="548">
        <f t="shared" si="30"/>
        <v>1.4061765255993595</v>
      </c>
      <c r="BN28" s="549">
        <f t="shared" si="31"/>
        <v>0.97571432502649613</v>
      </c>
      <c r="BO28" s="155">
        <f t="shared" si="25"/>
        <v>5770709.3127626069</v>
      </c>
      <c r="BP28" s="154">
        <f t="shared" si="32"/>
        <v>4.9564727798349709E-2</v>
      </c>
      <c r="BQ28" s="153">
        <f t="shared" si="33"/>
        <v>4.9564727798349709E-2</v>
      </c>
      <c r="BR28" s="152">
        <f t="shared" si="34"/>
        <v>8.2759534569655915E-2</v>
      </c>
      <c r="BS28" s="151">
        <f t="shared" si="35"/>
        <v>6816626.5541815218</v>
      </c>
      <c r="BT28" s="540">
        <f t="shared" si="36"/>
        <v>7871723.3999999994</v>
      </c>
      <c r="BU28" s="540">
        <f t="shared" si="37"/>
        <v>6816626.5541815218</v>
      </c>
      <c r="BV28" s="540">
        <f t="shared" si="41"/>
        <v>0</v>
      </c>
      <c r="BW28" s="541">
        <f t="shared" si="38"/>
        <v>4.9564727798349709E-2</v>
      </c>
      <c r="BX28" s="542">
        <f t="shared" si="39"/>
        <v>0.11196969085567912</v>
      </c>
      <c r="BY28" s="543">
        <f t="shared" si="40"/>
        <v>7075081.69740305</v>
      </c>
    </row>
    <row r="29" spans="1:77">
      <c r="A29" s="403" t="s">
        <v>103</v>
      </c>
      <c r="B29" s="382" t="s">
        <v>79</v>
      </c>
      <c r="C29" s="179">
        <f>'Sizing - Reim Exp_FY2024'!B23</f>
        <v>27236031</v>
      </c>
      <c r="D29" s="178">
        <f>Ridership_FY2024!$E23</f>
        <v>3047077</v>
      </c>
      <c r="E29" s="178">
        <f>'Revenue Hours_FY2024'!$F23</f>
        <v>276476</v>
      </c>
      <c r="F29" s="178">
        <f>'Revenue Miles_FY2024'!$F23</f>
        <v>2503129</v>
      </c>
      <c r="G29" s="404">
        <f t="shared" si="0"/>
        <v>6.3656643721171927E-2</v>
      </c>
      <c r="H29" s="384">
        <f t="shared" si="1"/>
        <v>6.0096413994788461E-2</v>
      </c>
      <c r="J29" s="385">
        <f>Ridership_FY2024!B23/'Revenue Hours_FY2024'!C23</f>
        <v>16.336445534406419</v>
      </c>
      <c r="K29" s="386">
        <f>Ridership_FY2024!C23/'Revenue Hours_FY2024'!D23</f>
        <v>15.892603773584906</v>
      </c>
      <c r="L29" s="386">
        <f>Ridership_FY2024!D23/'Revenue Hours_FY2024'!E23</f>
        <v>7.2218469159098948</v>
      </c>
      <c r="M29" s="386">
        <f>Ridership_FY2024!E23/'Revenue Hours_FY2024'!F23</f>
        <v>11.021126607734487</v>
      </c>
      <c r="N29" s="387">
        <f t="shared" si="2"/>
        <v>1.0152818096633436</v>
      </c>
      <c r="O29" s="388">
        <f t="shared" si="3"/>
        <v>6.1014795954906317E-2</v>
      </c>
      <c r="P29" s="389">
        <f t="shared" si="4"/>
        <v>5.8545594652370823E-2</v>
      </c>
      <c r="Q29" s="385">
        <f>Ridership_FY2024!B23/'Revenue Miles_FY2024'!C23</f>
        <v>1.802680802858009</v>
      </c>
      <c r="R29" s="386">
        <f>Ridership_FY2024!C23/'Revenue Miles_FY2024'!D23</f>
        <v>1.6926824335930128</v>
      </c>
      <c r="S29" s="386">
        <f>Ridership_FY2024!D23/'Revenue Miles_FY2024'!E23</f>
        <v>0.80452628182287345</v>
      </c>
      <c r="T29" s="386">
        <f>Ridership_FY2024!E23/'Revenue Miles_FY2024'!F23</f>
        <v>1.2173072182855937</v>
      </c>
      <c r="U29" s="387">
        <f t="shared" si="5"/>
        <v>1.0211052742749469</v>
      </c>
      <c r="V29" s="388">
        <f t="shared" si="6"/>
        <v>6.1364765295089232E-2</v>
      </c>
      <c r="W29" s="389">
        <f t="shared" si="7"/>
        <v>5.9083924466759329E-2</v>
      </c>
      <c r="X29" s="385">
        <f>'Op Cost_FY2024'!B23/'Revenue Hours_FY2024'!C23</f>
        <v>76.667882499885891</v>
      </c>
      <c r="Y29" s="386">
        <f>'Op Cost_FY2024'!C23/'Revenue Hours_FY2024'!D23</f>
        <v>83.128810327706063</v>
      </c>
      <c r="Z29" s="386">
        <f>'Op Cost_FY2024'!D23/'Revenue Hours_FY2024'!E23</f>
        <v>113.69054841372804</v>
      </c>
      <c r="AA29" s="386">
        <f>'Op Cost_FY2024'!E23/'Revenue Hours_FY2024'!F23</f>
        <v>98.632543150219192</v>
      </c>
      <c r="AB29" s="387">
        <f t="shared" si="8"/>
        <v>1.0166046781627676</v>
      </c>
      <c r="AC29" s="388">
        <f t="shared" si="9"/>
        <v>5.9114831247281042E-2</v>
      </c>
      <c r="AD29" s="389">
        <f t="shared" si="10"/>
        <v>5.9444289721812038E-2</v>
      </c>
      <c r="AE29" s="385">
        <f>'Op Cost_FY2024'!B23/'Revenue Miles_FY2024'!C23</f>
        <v>8.4600851321810815</v>
      </c>
      <c r="AF29" s="386">
        <f>'Op Cost_FY2024'!C23/'Revenue Miles_FY2024'!D23</f>
        <v>8.8538466680374093</v>
      </c>
      <c r="AG29" s="386">
        <f>'Op Cost_FY2024'!D23/'Revenue Miles_FY2024'!E23</f>
        <v>12.665324432756394</v>
      </c>
      <c r="AH29" s="386">
        <f>'Op Cost_FY2024'!E23/'Revenue Miles_FY2024'!F23</f>
        <v>10.894177247756708</v>
      </c>
      <c r="AI29" s="387">
        <f t="shared" si="11"/>
        <v>1.0223143327218718</v>
      </c>
      <c r="AJ29" s="388">
        <f t="shared" si="12"/>
        <v>5.8784673237226477E-2</v>
      </c>
      <c r="AK29" s="389">
        <f t="shared" si="13"/>
        <v>5.8851111237491982E-2</v>
      </c>
      <c r="AL29" s="385">
        <f>'Op Cost_FY2024'!B23/Ridership_FY2024!B23</f>
        <v>4.6930577608461137</v>
      </c>
      <c r="AM29" s="386">
        <f>'Op Cost_FY2024'!C23/Ridership_FY2024!C23</f>
        <v>5.2306602185523836</v>
      </c>
      <c r="AN29" s="386">
        <f>'Op Cost_FY2024'!D23/Ridership_FY2024!D23</f>
        <v>15.742586313102974</v>
      </c>
      <c r="AO29" s="386">
        <f>'Op Cost_FY2024'!E23/Ridership_FY2024!E23</f>
        <v>8.9494065952386492</v>
      </c>
      <c r="AP29" s="387">
        <f t="shared" si="14"/>
        <v>1.0288072437017239</v>
      </c>
      <c r="AQ29" s="388">
        <f t="shared" si="15"/>
        <v>5.8413676966889497E-2</v>
      </c>
      <c r="AR29" s="389">
        <f t="shared" si="16"/>
        <v>6.1838385690675367E-2</v>
      </c>
      <c r="AT29" s="391">
        <f t="shared" si="26"/>
        <v>0</v>
      </c>
      <c r="AU29" s="392">
        <f t="shared" si="17"/>
        <v>0</v>
      </c>
      <c r="AV29" s="392">
        <f t="shared" si="18"/>
        <v>0</v>
      </c>
      <c r="AW29" s="392">
        <f t="shared" si="19"/>
        <v>0</v>
      </c>
      <c r="AX29" s="393">
        <f t="shared" si="20"/>
        <v>0</v>
      </c>
      <c r="AY29" s="368">
        <f t="shared" si="27"/>
        <v>-1</v>
      </c>
      <c r="AZ29" s="394">
        <f t="shared" si="21"/>
        <v>0</v>
      </c>
      <c r="BA29" s="395">
        <f t="shared" si="21"/>
        <v>0</v>
      </c>
      <c r="BB29" s="395">
        <f t="shared" si="21"/>
        <v>0</v>
      </c>
      <c r="BC29" s="395">
        <f t="shared" si="21"/>
        <v>0</v>
      </c>
      <c r="BD29" s="395">
        <f t="shared" si="21"/>
        <v>0</v>
      </c>
      <c r="BE29" s="396">
        <f t="shared" si="28"/>
        <v>7608377.8634456787</v>
      </c>
      <c r="BG29" s="397">
        <f>'Op Cost_FY2024'!E23</f>
        <v>27269531</v>
      </c>
      <c r="BH29" s="398">
        <f t="shared" si="22"/>
        <v>0.27900655363107196</v>
      </c>
      <c r="BI29" s="399">
        <f t="shared" si="23"/>
        <v>7608377.8634456787</v>
      </c>
      <c r="BJ29" s="400">
        <f t="shared" si="24"/>
        <v>0</v>
      </c>
      <c r="BL29" s="548">
        <f t="shared" si="29"/>
        <v>1.2309152985653791</v>
      </c>
      <c r="BM29" s="548">
        <f t="shared" si="30"/>
        <v>1.9639804324914631</v>
      </c>
      <c r="BN29" s="549">
        <f t="shared" si="31"/>
        <v>1.5753296653622644</v>
      </c>
      <c r="BO29" s="155">
        <f t="shared" si="25"/>
        <v>7608377.8634456787</v>
      </c>
      <c r="BP29" s="154">
        <f t="shared" si="32"/>
        <v>9.5336276004884687E-2</v>
      </c>
      <c r="BQ29" s="153">
        <f t="shared" si="33"/>
        <v>9.5336276004884687E-2</v>
      </c>
      <c r="BR29" s="152">
        <f t="shared" si="34"/>
        <v>0.15918549703063667</v>
      </c>
      <c r="BS29" s="151">
        <f t="shared" si="35"/>
        <v>9620168.4902773127</v>
      </c>
      <c r="BT29" s="540">
        <f t="shared" si="36"/>
        <v>8180859.2999999998</v>
      </c>
      <c r="BU29" s="540">
        <f t="shared" si="37"/>
        <v>8180859.2999999998</v>
      </c>
      <c r="BV29" s="540">
        <f t="shared" si="41"/>
        <v>1439309.1902773129</v>
      </c>
      <c r="BW29" s="541">
        <f t="shared" si="38"/>
        <v>0</v>
      </c>
      <c r="BX29" s="542">
        <f t="shared" si="39"/>
        <v>0</v>
      </c>
      <c r="BY29" s="543">
        <f t="shared" si="40"/>
        <v>8180859.2999999998</v>
      </c>
    </row>
    <row r="30" spans="1:77">
      <c r="A30" s="403" t="s">
        <v>103</v>
      </c>
      <c r="B30" s="382" t="s">
        <v>80</v>
      </c>
      <c r="C30" s="179">
        <f>'Sizing - Reim Exp_FY2024'!B24</f>
        <v>5244294</v>
      </c>
      <c r="D30" s="178">
        <f>Ridership_FY2024!$E24</f>
        <v>471899</v>
      </c>
      <c r="E30" s="178">
        <f>'Revenue Hours_FY2024'!$F24</f>
        <v>35046</v>
      </c>
      <c r="F30" s="178">
        <f>'Revenue Miles_FY2024'!$F24</f>
        <v>434291</v>
      </c>
      <c r="G30" s="404">
        <f t="shared" si="0"/>
        <v>1.0476581378686624E-2</v>
      </c>
      <c r="H30" s="384">
        <f t="shared" si="1"/>
        <v>9.890640394762739E-3</v>
      </c>
      <c r="J30" s="385">
        <f>Ridership_FY2024!B24/'Revenue Hours_FY2024'!C24</f>
        <v>18.030378842030022</v>
      </c>
      <c r="K30" s="386">
        <f>Ridership_FY2024!C24/'Revenue Hours_FY2024'!D24</f>
        <v>17.559390774078722</v>
      </c>
      <c r="L30" s="386">
        <f>Ridership_FY2024!D24/'Revenue Hours_FY2024'!E24</f>
        <v>9.5356184364060681</v>
      </c>
      <c r="M30" s="386">
        <f>Ridership_FY2024!E24/'Revenue Hours_FY2024'!F24</f>
        <v>13.465131541402728</v>
      </c>
      <c r="N30" s="387">
        <f t="shared" si="2"/>
        <v>1.0436502726700094</v>
      </c>
      <c r="O30" s="388">
        <f t="shared" si="3"/>
        <v>1.0322369544875143E-2</v>
      </c>
      <c r="P30" s="389">
        <f t="shared" si="4"/>
        <v>9.904634667185875E-3</v>
      </c>
      <c r="Q30" s="385">
        <f>Ridership_FY2024!B24/'Revenue Miles_FY2024'!C24</f>
        <v>1.3764010967774205</v>
      </c>
      <c r="R30" s="386">
        <f>Ridership_FY2024!C24/'Revenue Miles_FY2024'!D24</f>
        <v>1.3807895890071515</v>
      </c>
      <c r="S30" s="386">
        <f>Ridership_FY2024!D24/'Revenue Miles_FY2024'!E24</f>
        <v>0.74451206457520036</v>
      </c>
      <c r="T30" s="386">
        <f>Ridership_FY2024!E24/'Revenue Miles_FY2024'!F24</f>
        <v>1.0865963144527517</v>
      </c>
      <c r="U30" s="387">
        <f t="shared" si="5"/>
        <v>1.0693702541727059</v>
      </c>
      <c r="V30" s="388">
        <f t="shared" si="6"/>
        <v>1.0576756632878263E-2</v>
      </c>
      <c r="W30" s="389">
        <f t="shared" si="7"/>
        <v>1.0183633669829818E-2</v>
      </c>
      <c r="X30" s="385">
        <f>'Op Cost_FY2024'!B24/'Revenue Hours_FY2024'!C24</f>
        <v>116.72551822730522</v>
      </c>
      <c r="Y30" s="386">
        <f>'Op Cost_FY2024'!C24/'Revenue Hours_FY2024'!D24</f>
        <v>115.9866367111137</v>
      </c>
      <c r="Z30" s="386">
        <f>'Op Cost_FY2024'!D24/'Revenue Hours_FY2024'!E24</f>
        <v>133.20037922987166</v>
      </c>
      <c r="AA30" s="386">
        <f>'Op Cost_FY2024'!E24/'Revenue Hours_FY2024'!F24</f>
        <v>152.54685270786965</v>
      </c>
      <c r="AB30" s="387">
        <f t="shared" si="8"/>
        <v>1.0194822652763735</v>
      </c>
      <c r="AC30" s="388">
        <f t="shared" si="9"/>
        <v>9.7016306527720371E-3</v>
      </c>
      <c r="AD30" s="389">
        <f t="shared" si="10"/>
        <v>9.7556997310031014E-3</v>
      </c>
      <c r="AE30" s="385">
        <f>'Op Cost_FY2024'!B24/'Revenue Miles_FY2024'!C24</f>
        <v>8.9105799005988615</v>
      </c>
      <c r="AF30" s="386">
        <f>'Op Cost_FY2024'!C24/'Revenue Miles_FY2024'!D24</f>
        <v>9.1206547251673182</v>
      </c>
      <c r="AG30" s="386">
        <f>'Op Cost_FY2024'!D24/'Revenue Miles_FY2024'!E24</f>
        <v>10.399880196968939</v>
      </c>
      <c r="AH30" s="386">
        <f>'Op Cost_FY2024'!E24/'Revenue Miles_FY2024'!F24</f>
        <v>12.310080107577638</v>
      </c>
      <c r="AI30" s="387">
        <f t="shared" si="11"/>
        <v>1.0469308779778348</v>
      </c>
      <c r="AJ30" s="388">
        <f t="shared" si="12"/>
        <v>9.4472716421037106E-3</v>
      </c>
      <c r="AK30" s="389">
        <f t="shared" si="13"/>
        <v>9.4579488782147881E-3</v>
      </c>
      <c r="AL30" s="385">
        <f>'Op Cost_FY2024'!B24/Ridership_FY2024!B24</f>
        <v>6.4738250510416462</v>
      </c>
      <c r="AM30" s="386">
        <f>'Op Cost_FY2024'!C24/Ridership_FY2024!C24</f>
        <v>6.6053907110680559</v>
      </c>
      <c r="AN30" s="386">
        <f>'Op Cost_FY2024'!D24/Ridership_FY2024!D24</f>
        <v>13.968719503427852</v>
      </c>
      <c r="AO30" s="386">
        <f>'Op Cost_FY2024'!E24/Ridership_FY2024!E24</f>
        <v>11.329028033541075</v>
      </c>
      <c r="AP30" s="390">
        <f t="shared" si="14"/>
        <v>0.97654005192677629</v>
      </c>
      <c r="AQ30" s="388">
        <f t="shared" si="15"/>
        <v>1.0128248580534788E-2</v>
      </c>
      <c r="AR30" s="389">
        <f t="shared" si="16"/>
        <v>1.0722053029621096E-2</v>
      </c>
      <c r="AT30" s="391">
        <f t="shared" si="26"/>
        <v>0</v>
      </c>
      <c r="AU30" s="392">
        <f t="shared" si="17"/>
        <v>0</v>
      </c>
      <c r="AV30" s="392">
        <f t="shared" si="18"/>
        <v>0</v>
      </c>
      <c r="AW30" s="392">
        <f t="shared" si="19"/>
        <v>0</v>
      </c>
      <c r="AX30" s="393">
        <f t="shared" si="20"/>
        <v>0</v>
      </c>
      <c r="AY30" s="368">
        <f t="shared" si="27"/>
        <v>-1</v>
      </c>
      <c r="AZ30" s="394">
        <f t="shared" si="21"/>
        <v>0</v>
      </c>
      <c r="BA30" s="395">
        <f t="shared" si="21"/>
        <v>0</v>
      </c>
      <c r="BB30" s="395">
        <f t="shared" si="21"/>
        <v>0</v>
      </c>
      <c r="BC30" s="395">
        <f t="shared" si="21"/>
        <v>0</v>
      </c>
      <c r="BD30" s="395">
        <f t="shared" si="21"/>
        <v>0</v>
      </c>
      <c r="BE30" s="396">
        <f t="shared" si="28"/>
        <v>1252183.3572522355</v>
      </c>
      <c r="BG30" s="397">
        <f>'Op Cost_FY2024'!E24</f>
        <v>5346157</v>
      </c>
      <c r="BH30" s="398">
        <f t="shared" si="22"/>
        <v>0.23422120922603573</v>
      </c>
      <c r="BI30" s="399">
        <f t="shared" si="23"/>
        <v>1252183.3572522355</v>
      </c>
      <c r="BJ30" s="400">
        <f t="shared" si="24"/>
        <v>0</v>
      </c>
      <c r="BL30" s="548">
        <f t="shared" si="29"/>
        <v>1.5038785962113994</v>
      </c>
      <c r="BM30" s="548">
        <f t="shared" si="30"/>
        <v>1.7530939335166849</v>
      </c>
      <c r="BN30" s="549">
        <f t="shared" si="31"/>
        <v>1.2444373564200191</v>
      </c>
      <c r="BO30" s="155">
        <f t="shared" si="25"/>
        <v>1252183.3572522355</v>
      </c>
      <c r="BP30" s="154">
        <f t="shared" si="32"/>
        <v>1.4207527209870093E-2</v>
      </c>
      <c r="BQ30" s="153">
        <f t="shared" si="33"/>
        <v>1.4207527209870093E-2</v>
      </c>
      <c r="BR30" s="152">
        <f t="shared" si="34"/>
        <v>2.3722683277072699E-2</v>
      </c>
      <c r="BS30" s="151">
        <f t="shared" si="35"/>
        <v>1551991.2716059238</v>
      </c>
      <c r="BT30" s="540">
        <f t="shared" si="36"/>
        <v>1603847.0999999999</v>
      </c>
      <c r="BU30" s="540">
        <f t="shared" si="37"/>
        <v>1551991.2716059238</v>
      </c>
      <c r="BV30" s="540">
        <f t="shared" si="41"/>
        <v>0</v>
      </c>
      <c r="BW30" s="541">
        <f t="shared" si="38"/>
        <v>1.4207527209870093E-2</v>
      </c>
      <c r="BX30" s="542">
        <f t="shared" si="39"/>
        <v>3.2095655523115184E-2</v>
      </c>
      <c r="BY30" s="543">
        <f t="shared" si="40"/>
        <v>1626076.3850113684</v>
      </c>
    </row>
    <row r="31" spans="1:77">
      <c r="A31" s="403" t="s">
        <v>103</v>
      </c>
      <c r="B31" s="382" t="s">
        <v>81</v>
      </c>
      <c r="C31" s="179">
        <f>'Sizing - Reim Exp_FY2024'!B25</f>
        <v>103337911</v>
      </c>
      <c r="D31" s="178">
        <f>Ridership_FY2024!$E25</f>
        <v>5191499</v>
      </c>
      <c r="E31" s="178">
        <f>'Revenue Hours_FY2024'!$F25</f>
        <v>842949</v>
      </c>
      <c r="F31" s="178">
        <f>'Revenue Miles_FY2024'!$F25</f>
        <v>10941805</v>
      </c>
      <c r="G31" s="404">
        <f t="shared" si="0"/>
        <v>0.18040139335856201</v>
      </c>
      <c r="H31" s="384">
        <f t="shared" si="1"/>
        <v>0.17031178816150802</v>
      </c>
      <c r="J31" s="385">
        <f>Ridership_FY2024!B25/'Revenue Hours_FY2024'!C25</f>
        <v>11.061264869468026</v>
      </c>
      <c r="K31" s="386">
        <f>Ridership_FY2024!C25/'Revenue Hours_FY2024'!D25</f>
        <v>10.935817531005453</v>
      </c>
      <c r="L31" s="386">
        <f>Ridership_FY2024!D25/'Revenue Hours_FY2024'!E25</f>
        <v>5.8735316212753474</v>
      </c>
      <c r="M31" s="386">
        <f>Ridership_FY2024!E25/'Revenue Hours_FY2024'!F25</f>
        <v>6.1587343955565519</v>
      </c>
      <c r="N31" s="387">
        <f t="shared" si="2"/>
        <v>0.95068239501028584</v>
      </c>
      <c r="O31" s="388">
        <f t="shared" si="3"/>
        <v>0.1619124186678669</v>
      </c>
      <c r="P31" s="389">
        <f t="shared" si="4"/>
        <v>0.15536000217913781</v>
      </c>
      <c r="Q31" s="385">
        <f>Ridership_FY2024!B25/'Revenue Miles_FY2024'!C25</f>
        <v>0.83785839609808965</v>
      </c>
      <c r="R31" s="386">
        <f>Ridership_FY2024!C25/'Revenue Miles_FY2024'!D25</f>
        <v>0.82322383518472986</v>
      </c>
      <c r="S31" s="386">
        <f>Ridership_FY2024!D25/'Revenue Miles_FY2024'!E25</f>
        <v>0.454872375587629</v>
      </c>
      <c r="T31" s="386">
        <f>Ridership_FY2024!E25/'Revenue Miles_FY2024'!F25</f>
        <v>0.47446458788106716</v>
      </c>
      <c r="U31" s="387">
        <f t="shared" si="5"/>
        <v>0.96058791074745009</v>
      </c>
      <c r="V31" s="388">
        <f t="shared" si="6"/>
        <v>0.1635994447657253</v>
      </c>
      <c r="W31" s="389">
        <f t="shared" si="7"/>
        <v>0.15751868667401903</v>
      </c>
      <c r="X31" s="385">
        <f>'Op Cost_FY2024'!B25/'Revenue Hours_FY2024'!C25</f>
        <v>114.34052079729622</v>
      </c>
      <c r="Y31" s="386">
        <f>'Op Cost_FY2024'!C25/'Revenue Hours_FY2024'!D25</f>
        <v>111.12397982480542</v>
      </c>
      <c r="Z31" s="386">
        <f>'Op Cost_FY2024'!D25/'Revenue Hours_FY2024'!E25</f>
        <v>123.96447205256577</v>
      </c>
      <c r="AA31" s="386">
        <f>'Op Cost_FY2024'!E25/'Revenue Hours_FY2024'!F25</f>
        <v>123.17011468072208</v>
      </c>
      <c r="AB31" s="387">
        <f t="shared" si="8"/>
        <v>0.95293795539383053</v>
      </c>
      <c r="AC31" s="388">
        <f t="shared" si="9"/>
        <v>0.17872285094481466</v>
      </c>
      <c r="AD31" s="389">
        <f t="shared" si="10"/>
        <v>0.17971890822170689</v>
      </c>
      <c r="AE31" s="385">
        <f>'Op Cost_FY2024'!B25/'Revenue Miles_FY2024'!C25</f>
        <v>8.6609593473056652</v>
      </c>
      <c r="AF31" s="386">
        <f>'Op Cost_FY2024'!C25/'Revenue Miles_FY2024'!D25</f>
        <v>8.3651641583266318</v>
      </c>
      <c r="AG31" s="386">
        <f>'Op Cost_FY2024'!D25/'Revenue Miles_FY2024'!E25</f>
        <v>9.6003592943580749</v>
      </c>
      <c r="AH31" s="386">
        <f>'Op Cost_FY2024'!E25/'Revenue Miles_FY2024'!F25</f>
        <v>9.4889394391510358</v>
      </c>
      <c r="AI31" s="387">
        <f t="shared" si="11"/>
        <v>0.96337874086375253</v>
      </c>
      <c r="AJ31" s="388">
        <f t="shared" si="12"/>
        <v>0.1767859108130295</v>
      </c>
      <c r="AK31" s="389">
        <f t="shared" si="13"/>
        <v>0.17698571293393497</v>
      </c>
      <c r="AL31" s="385">
        <f>'Op Cost_FY2024'!B25/Ridership_FY2024!B25</f>
        <v>10.337020417339961</v>
      </c>
      <c r="AM31" s="386">
        <f>'Op Cost_FY2024'!C25/Ridership_FY2024!C25</f>
        <v>10.161469822420175</v>
      </c>
      <c r="AN31" s="386">
        <f>'Op Cost_FY2024'!D25/Ridership_FY2024!D25</f>
        <v>21.10561073742015</v>
      </c>
      <c r="AO31" s="386">
        <f>'Op Cost_FY2024'!E25/Ridership_FY2024!E25</f>
        <v>19.999257439903197</v>
      </c>
      <c r="AP31" s="387">
        <f t="shared" si="14"/>
        <v>1.0176178200882871</v>
      </c>
      <c r="AQ31" s="388">
        <f t="shared" si="15"/>
        <v>0.16736321318226524</v>
      </c>
      <c r="AR31" s="389">
        <f t="shared" si="16"/>
        <v>0.17717547438525416</v>
      </c>
      <c r="AT31" s="391">
        <f t="shared" si="26"/>
        <v>0</v>
      </c>
      <c r="AU31" s="392">
        <f t="shared" si="17"/>
        <v>0</v>
      </c>
      <c r="AV31" s="392">
        <f t="shared" si="18"/>
        <v>0</v>
      </c>
      <c r="AW31" s="392">
        <f t="shared" si="19"/>
        <v>0</v>
      </c>
      <c r="AX31" s="393">
        <f t="shared" si="20"/>
        <v>0</v>
      </c>
      <c r="AY31" s="368">
        <f t="shared" si="27"/>
        <v>-1</v>
      </c>
      <c r="AZ31" s="394">
        <f t="shared" si="21"/>
        <v>0</v>
      </c>
      <c r="BA31" s="395">
        <f t="shared" si="21"/>
        <v>0</v>
      </c>
      <c r="BB31" s="395">
        <f t="shared" si="21"/>
        <v>0</v>
      </c>
      <c r="BC31" s="395">
        <f t="shared" si="21"/>
        <v>0</v>
      </c>
      <c r="BD31" s="395">
        <f t="shared" si="21"/>
        <v>0</v>
      </c>
      <c r="BE31" s="396">
        <f t="shared" si="28"/>
        <v>21561959.404836342</v>
      </c>
      <c r="BG31" s="397">
        <f>'Op Cost_FY2024'!E25</f>
        <v>103826125</v>
      </c>
      <c r="BH31" s="398">
        <f t="shared" si="22"/>
        <v>0.20767373726830643</v>
      </c>
      <c r="BI31" s="399">
        <f t="shared" si="23"/>
        <v>21561959.404836342</v>
      </c>
      <c r="BJ31" s="400">
        <f t="shared" si="24"/>
        <v>0</v>
      </c>
      <c r="BL31" s="548">
        <f t="shared" si="29"/>
        <v>0.68784985937564647</v>
      </c>
      <c r="BM31" s="548">
        <f t="shared" si="30"/>
        <v>0.76549218842299049</v>
      </c>
      <c r="BN31" s="549">
        <f t="shared" si="31"/>
        <v>0.70493945783900991</v>
      </c>
      <c r="BO31" s="155">
        <f t="shared" si="25"/>
        <v>21561959.404836342</v>
      </c>
      <c r="BP31" s="154">
        <f t="shared" si="32"/>
        <v>0.12191007054780631</v>
      </c>
      <c r="BQ31" s="153">
        <f t="shared" si="33"/>
        <v>0.12191007054780631</v>
      </c>
      <c r="BR31" s="152">
        <f t="shared" si="34"/>
        <v>0.20355646335711935</v>
      </c>
      <c r="BS31" s="151">
        <f t="shared" si="35"/>
        <v>24134511.50695426</v>
      </c>
      <c r="BT31" s="540">
        <f t="shared" si="36"/>
        <v>31147837.5</v>
      </c>
      <c r="BU31" s="540">
        <f t="shared" si="37"/>
        <v>24134511.50695426</v>
      </c>
      <c r="BV31" s="540">
        <f t="shared" si="41"/>
        <v>0</v>
      </c>
      <c r="BW31" s="541">
        <f t="shared" si="38"/>
        <v>0.12191007054780631</v>
      </c>
      <c r="BX31" s="542">
        <f t="shared" si="39"/>
        <v>0.27540215628676162</v>
      </c>
      <c r="BY31" s="543">
        <f t="shared" si="40"/>
        <v>24770211.250363905</v>
      </c>
    </row>
    <row r="32" spans="1:77">
      <c r="A32" s="403" t="s">
        <v>103</v>
      </c>
      <c r="B32" s="382" t="s">
        <v>82</v>
      </c>
      <c r="C32" s="179">
        <f>'Sizing - Reim Exp_FY2024'!B26</f>
        <v>60655515</v>
      </c>
      <c r="D32" s="178">
        <f>Ridership_FY2024!$E26</f>
        <v>821936</v>
      </c>
      <c r="E32" s="178">
        <f>'Revenue Hours_FY2024'!$F26</f>
        <v>71732</v>
      </c>
      <c r="F32" s="178">
        <f>'Revenue Miles_FY2024'!$F26</f>
        <v>2197853</v>
      </c>
      <c r="G32" s="426">
        <f>$C$2</f>
        <v>5.592864339467718E-2</v>
      </c>
      <c r="H32" s="427">
        <f>$C$2</f>
        <v>5.592864339467718E-2</v>
      </c>
      <c r="J32" s="385">
        <f>Ridership_FY2024!B26/'Revenue Hours_FY2024'!C26</f>
        <v>59.097809306301592</v>
      </c>
      <c r="K32" s="386">
        <f>Ridership_FY2024!C26/'Revenue Hours_FY2024'!D26</f>
        <v>55.342163410837145</v>
      </c>
      <c r="L32" s="386">
        <f>Ridership_FY2024!D26/'Revenue Hours_FY2024'!E26</f>
        <v>6.8452722063037248</v>
      </c>
      <c r="M32" s="386">
        <f>Ridership_FY2024!E26/'Revenue Hours_FY2024'!F26</f>
        <v>11.458428595327051</v>
      </c>
      <c r="N32" s="387">
        <f t="shared" si="2"/>
        <v>0.8267628961688408</v>
      </c>
      <c r="O32" s="388">
        <f t="shared" si="3"/>
        <v>4.6239727191777616E-2</v>
      </c>
      <c r="P32" s="389">
        <f t="shared" si="4"/>
        <v>4.4368456579069092E-2</v>
      </c>
      <c r="Q32" s="385">
        <f>Ridership_FY2024!B26/'Revenue Miles_FY2024'!C26</f>
        <v>1.9169269798702158</v>
      </c>
      <c r="R32" s="386">
        <f>Ridership_FY2024!C26/'Revenue Miles_FY2024'!D26</f>
        <v>1.7949837852981274</v>
      </c>
      <c r="S32" s="386">
        <f>Ridership_FY2024!D26/'Revenue Miles_FY2024'!E26</f>
        <v>0.21891420471730516</v>
      </c>
      <c r="T32" s="386">
        <f>Ridership_FY2024!E26/'Revenue Miles_FY2024'!F26</f>
        <v>0.3739722356317734</v>
      </c>
      <c r="U32" s="387">
        <f t="shared" si="5"/>
        <v>0.84609812474829893</v>
      </c>
      <c r="V32" s="388">
        <f t="shared" si="6"/>
        <v>4.7321120295952694E-2</v>
      </c>
      <c r="W32" s="389">
        <f t="shared" si="7"/>
        <v>4.5562261727940583E-2</v>
      </c>
      <c r="X32" s="385">
        <f>'Op Cost_FY2024'!B26/'Revenue Hours_FY2024'!C26</f>
        <v>1005.9172333720352</v>
      </c>
      <c r="Y32" s="386">
        <f>'Op Cost_FY2024'!C26/'Revenue Hours_FY2024'!D26</f>
        <v>972.50946617787372</v>
      </c>
      <c r="Z32" s="386">
        <f>'Op Cost_FY2024'!D26/'Revenue Hours_FY2024'!E26</f>
        <v>1634.8335704410204</v>
      </c>
      <c r="AA32" s="386">
        <f>'Op Cost_FY2024'!E26/'Revenue Hours_FY2024'!F26</f>
        <v>1144.3562566218702</v>
      </c>
      <c r="AB32" s="387">
        <f t="shared" si="8"/>
        <v>1.0080005539781249</v>
      </c>
      <c r="AC32" s="388">
        <f t="shared" si="9"/>
        <v>5.5484734779114926E-2</v>
      </c>
      <c r="AD32" s="389">
        <f t="shared" si="10"/>
        <v>5.5793962018614578E-2</v>
      </c>
      <c r="AE32" s="385">
        <f>'Op Cost_FY2024'!B26/'Revenue Miles_FY2024'!C26</f>
        <v>32.628449460336377</v>
      </c>
      <c r="AF32" s="386">
        <f>'Op Cost_FY2024'!C26/'Revenue Miles_FY2024'!D26</f>
        <v>31.54265419440377</v>
      </c>
      <c r="AG32" s="386">
        <f>'Op Cost_FY2024'!D26/'Revenue Miles_FY2024'!E26</f>
        <v>52.282550661560784</v>
      </c>
      <c r="AH32" s="386">
        <f>'Op Cost_FY2024'!E26/'Revenue Miles_FY2024'!F26</f>
        <v>37.348704849687401</v>
      </c>
      <c r="AI32" s="387">
        <f t="shared" si="11"/>
        <v>1.0074292279502493</v>
      </c>
      <c r="AJ32" s="388">
        <f t="shared" si="12"/>
        <v>5.5516200883382702E-2</v>
      </c>
      <c r="AK32" s="389">
        <f t="shared" si="13"/>
        <v>5.5578944880515173E-2</v>
      </c>
      <c r="AL32" s="385">
        <f>'Op Cost_FY2024'!B26/Ridership_FY2024!B26</f>
        <v>17.021227100964204</v>
      </c>
      <c r="AM32" s="386">
        <f>'Op Cost_FY2024'!C26/Ridership_FY2024!C26</f>
        <v>17.572668038984474</v>
      </c>
      <c r="AN32" s="386">
        <f>'Op Cost_FY2024'!D26/Ridership_FY2024!D26</f>
        <v>238.82667060858773</v>
      </c>
      <c r="AO32" s="386">
        <f>'Op Cost_FY2024'!E26/Ridership_FY2024!E26</f>
        <v>99.870261188219033</v>
      </c>
      <c r="AP32" s="387">
        <f t="shared" si="14"/>
        <v>2.4216650482883781</v>
      </c>
      <c r="AQ32" s="388">
        <f t="shared" si="15"/>
        <v>2.3095119382512165E-2</v>
      </c>
      <c r="AR32" s="389">
        <f t="shared" si="16"/>
        <v>2.4449152563320115E-2</v>
      </c>
      <c r="AT32" s="391">
        <f t="shared" si="26"/>
        <v>0</v>
      </c>
      <c r="AU32" s="392">
        <f t="shared" si="17"/>
        <v>0</v>
      </c>
      <c r="AV32" s="392">
        <f t="shared" si="18"/>
        <v>0</v>
      </c>
      <c r="AW32" s="392">
        <f t="shared" si="19"/>
        <v>0</v>
      </c>
      <c r="AX32" s="393">
        <f t="shared" si="20"/>
        <v>0</v>
      </c>
      <c r="AY32" s="368">
        <f t="shared" si="27"/>
        <v>-1</v>
      </c>
      <c r="AZ32" s="394">
        <f t="shared" si="21"/>
        <v>0</v>
      </c>
      <c r="BA32" s="395">
        <f t="shared" si="21"/>
        <v>0</v>
      </c>
      <c r="BB32" s="395">
        <f t="shared" si="21"/>
        <v>0</v>
      </c>
      <c r="BC32" s="395">
        <f t="shared" si="21"/>
        <v>0</v>
      </c>
      <c r="BD32" s="395">
        <f t="shared" si="21"/>
        <v>0</v>
      </c>
      <c r="BE32" s="396">
        <f t="shared" si="28"/>
        <v>7080726.1873147823</v>
      </c>
      <c r="BG32" s="397">
        <f>'Op Cost_FY2024'!E26</f>
        <v>82086963</v>
      </c>
      <c r="BH32" s="398">
        <f t="shared" si="22"/>
        <v>8.6258839754064023E-2</v>
      </c>
      <c r="BI32" s="399">
        <f t="shared" si="23"/>
        <v>7080726.1873147823</v>
      </c>
      <c r="BJ32" s="400">
        <f t="shared" si="24"/>
        <v>0</v>
      </c>
      <c r="BL32" s="548">
        <f t="shared" si="29"/>
        <v>1.2797561953066412</v>
      </c>
      <c r="BM32" s="548">
        <f t="shared" si="30"/>
        <v>0.60335972878752286</v>
      </c>
      <c r="BN32" s="549">
        <f t="shared" si="31"/>
        <v>0.14116580380517932</v>
      </c>
      <c r="BO32" s="155">
        <f t="shared" si="25"/>
        <v>7080726.1873147823</v>
      </c>
      <c r="BP32" s="154">
        <f t="shared" si="32"/>
        <v>3.0277635697646538E-2</v>
      </c>
      <c r="BQ32" s="153">
        <f t="shared" si="33"/>
        <v>3.0277635697646538E-2</v>
      </c>
      <c r="BR32" s="152">
        <f t="shared" si="34"/>
        <v>5.0555367688113438E-2</v>
      </c>
      <c r="BS32" s="151">
        <f t="shared" si="35"/>
        <v>7719646.2946622446</v>
      </c>
      <c r="BT32" s="540">
        <f t="shared" si="36"/>
        <v>24626088.899999999</v>
      </c>
      <c r="BU32" s="540">
        <f t="shared" si="37"/>
        <v>7719646.2946622446</v>
      </c>
      <c r="BV32" s="540">
        <f t="shared" si="41"/>
        <v>0</v>
      </c>
      <c r="BW32" s="541">
        <f t="shared" si="38"/>
        <v>3.0277635697646538E-2</v>
      </c>
      <c r="BX32" s="542">
        <f t="shared" si="39"/>
        <v>6.8398993790484114E-2</v>
      </c>
      <c r="BY32" s="543">
        <f t="shared" si="40"/>
        <v>7877528.9466659352</v>
      </c>
    </row>
    <row r="33" spans="1:77">
      <c r="A33" s="403" t="s">
        <v>103</v>
      </c>
      <c r="B33" s="382" t="s">
        <v>83</v>
      </c>
      <c r="C33" s="179">
        <f>'Sizing - Reim Exp_FY2024'!B27</f>
        <v>33464344</v>
      </c>
      <c r="D33" s="178">
        <f>Ridership_FY2024!$E27</f>
        <v>1220283</v>
      </c>
      <c r="E33" s="178">
        <f>'Revenue Hours_FY2024'!$F27</f>
        <v>217350</v>
      </c>
      <c r="F33" s="178">
        <f>'Revenue Miles_FY2024'!$F27</f>
        <v>5217740</v>
      </c>
      <c r="G33" s="404">
        <f t="shared" ref="G33:G48" si="42">IFERROR($C$7*(C33/C$49),0) + IFERROR($D$7*(D33/D$49),0) + IFERROR($E$7*(E33/E$49),0) + IFERROR($F$7*(F33/F$49),0)</f>
        <v>5.6412417842223256E-2</v>
      </c>
      <c r="H33" s="384">
        <f t="shared" ref="H33:H48" si="43">G33/(SUM($G$9:$G$48)-$G$32)*(1-$G$32)</f>
        <v>5.3257347841694003E-2</v>
      </c>
      <c r="J33" s="385">
        <f>Ridership_FY2024!B27/'Revenue Hours_FY2024'!C27</f>
        <v>10.344199378821216</v>
      </c>
      <c r="K33" s="386">
        <f>Ridership_FY2024!C27/'Revenue Hours_FY2024'!D27</f>
        <v>10.619348493496171</v>
      </c>
      <c r="L33" s="386">
        <f>Ridership_FY2024!D27/'Revenue Hours_FY2024'!E27</f>
        <v>3.1822121529637459</v>
      </c>
      <c r="M33" s="386">
        <f>Ridership_FY2024!E27/'Revenue Hours_FY2024'!F27</f>
        <v>5.6143685300207036</v>
      </c>
      <c r="N33" s="387">
        <f t="shared" si="2"/>
        <v>0.99449719814170712</v>
      </c>
      <c r="O33" s="388">
        <f t="shared" si="3"/>
        <v>5.296428320902298E-2</v>
      </c>
      <c r="P33" s="389">
        <f t="shared" si="4"/>
        <v>5.0820877252470531E-2</v>
      </c>
      <c r="Q33" s="385">
        <f>Ridership_FY2024!B27/'Revenue Miles_FY2024'!C27</f>
        <v>0.49586520195533368</v>
      </c>
      <c r="R33" s="386">
        <f>Ridership_FY2024!C27/'Revenue Miles_FY2024'!D27</f>
        <v>0.5403360203480656</v>
      </c>
      <c r="S33" s="386">
        <f>Ridership_FY2024!D27/'Revenue Miles_FY2024'!E27</f>
        <v>0.14309026388335411</v>
      </c>
      <c r="T33" s="386">
        <f>Ridership_FY2024!E27/'Revenue Miles_FY2024'!F27</f>
        <v>0.23387194455837201</v>
      </c>
      <c r="U33" s="387">
        <f t="shared" si="5"/>
        <v>0.96947249754369602</v>
      </c>
      <c r="V33" s="388">
        <f t="shared" si="6"/>
        <v>5.1631534024640456E-2</v>
      </c>
      <c r="W33" s="389">
        <f t="shared" si="7"/>
        <v>4.9712463524388274E-2</v>
      </c>
      <c r="X33" s="385">
        <f>'Op Cost_FY2024'!B27/'Revenue Hours_FY2024'!C27</f>
        <v>132.85237039556537</v>
      </c>
      <c r="Y33" s="386">
        <f>'Op Cost_FY2024'!C27/'Revenue Hours_FY2024'!D27</f>
        <v>147.42823097382487</v>
      </c>
      <c r="Z33" s="386">
        <f>'Op Cost_FY2024'!D27/'Revenue Hours_FY2024'!E27</f>
        <v>162.67460550900779</v>
      </c>
      <c r="AA33" s="386">
        <f>'Op Cost_FY2024'!E27/'Revenue Hours_FY2024'!F27</f>
        <v>182.82648723257418</v>
      </c>
      <c r="AB33" s="387">
        <f t="shared" si="8"/>
        <v>1.0380499392550568</v>
      </c>
      <c r="AC33" s="388">
        <f t="shared" si="9"/>
        <v>5.1305188534487511E-2</v>
      </c>
      <c r="AD33" s="389">
        <f t="shared" si="10"/>
        <v>5.1591122348277681E-2</v>
      </c>
      <c r="AE33" s="385">
        <f>'Op Cost_FY2024'!B27/'Revenue Miles_FY2024'!C27</f>
        <v>6.3684839264910691</v>
      </c>
      <c r="AF33" s="386">
        <f>'Op Cost_FY2024'!C27/'Revenue Miles_FY2024'!D27</f>
        <v>7.5014755999523217</v>
      </c>
      <c r="AG33" s="386">
        <f>'Op Cost_FY2024'!D27/'Revenue Miles_FY2024'!E27</f>
        <v>7.31477070368339</v>
      </c>
      <c r="AH33" s="386">
        <f>'Op Cost_FY2024'!E27/'Revenue Miles_FY2024'!F27</f>
        <v>7.6158139347686928</v>
      </c>
      <c r="AI33" s="387">
        <f t="shared" si="11"/>
        <v>1.00473780092762</v>
      </c>
      <c r="AJ33" s="388">
        <f t="shared" si="12"/>
        <v>5.3006214947346836E-2</v>
      </c>
      <c r="AK33" s="389">
        <f t="shared" si="13"/>
        <v>5.3066122177051651E-2</v>
      </c>
      <c r="AL33" s="385">
        <f>'Op Cost_FY2024'!B27/Ridership_FY2024!B27</f>
        <v>12.843175728763333</v>
      </c>
      <c r="AM33" s="386">
        <f>'Op Cost_FY2024'!C27/Ridership_FY2024!C27</f>
        <v>13.882982657939651</v>
      </c>
      <c r="AN33" s="386">
        <f>'Op Cost_FY2024'!D27/Ridership_FY2024!D27</f>
        <v>51.119974938660576</v>
      </c>
      <c r="AO33" s="386">
        <f>'Op Cost_FY2024'!E27/Ridership_FY2024!E27</f>
        <v>32.564033916722593</v>
      </c>
      <c r="AP33" s="387">
        <f t="shared" si="14"/>
        <v>1.141557882420283</v>
      </c>
      <c r="AQ33" s="388">
        <f t="shared" si="15"/>
        <v>4.6653217205929159E-2</v>
      </c>
      <c r="AR33" s="389">
        <f t="shared" si="16"/>
        <v>4.9388427318594844E-2</v>
      </c>
      <c r="AT33" s="391">
        <f t="shared" si="26"/>
        <v>0</v>
      </c>
      <c r="AU33" s="392">
        <f t="shared" si="17"/>
        <v>0</v>
      </c>
      <c r="AV33" s="392">
        <f t="shared" si="18"/>
        <v>0</v>
      </c>
      <c r="AW33" s="392">
        <f t="shared" si="19"/>
        <v>0</v>
      </c>
      <c r="AX33" s="393">
        <f t="shared" si="20"/>
        <v>0</v>
      </c>
      <c r="AY33" s="368">
        <f t="shared" si="27"/>
        <v>-1</v>
      </c>
      <c r="AZ33" s="394">
        <f t="shared" si="21"/>
        <v>0</v>
      </c>
      <c r="BA33" s="395">
        <f t="shared" si="21"/>
        <v>0</v>
      </c>
      <c r="BB33" s="395">
        <f t="shared" si="21"/>
        <v>0</v>
      </c>
      <c r="BC33" s="395">
        <f t="shared" si="21"/>
        <v>0</v>
      </c>
      <c r="BD33" s="395">
        <f t="shared" si="21"/>
        <v>0</v>
      </c>
      <c r="BE33" s="396">
        <f t="shared" si="28"/>
        <v>6742532.5314703481</v>
      </c>
      <c r="BG33" s="397">
        <f>'Op Cost_FY2024'!E27</f>
        <v>39737337</v>
      </c>
      <c r="BH33" s="398">
        <f t="shared" si="22"/>
        <v>0.16967751340434181</v>
      </c>
      <c r="BI33" s="399">
        <f t="shared" si="23"/>
        <v>6742532.5314703481</v>
      </c>
      <c r="BJ33" s="400">
        <f t="shared" si="24"/>
        <v>0</v>
      </c>
      <c r="BL33" s="548">
        <f t="shared" si="29"/>
        <v>0.62705133162489779</v>
      </c>
      <c r="BM33" s="548">
        <f t="shared" si="30"/>
        <v>0.37732457010175174</v>
      </c>
      <c r="BN33" s="549">
        <f t="shared" si="31"/>
        <v>0.4329397805235754</v>
      </c>
      <c r="BO33" s="155">
        <f t="shared" si="25"/>
        <v>6742532.5314703481</v>
      </c>
      <c r="BP33" s="154">
        <f t="shared" si="32"/>
        <v>2.490121143344317E-2</v>
      </c>
      <c r="BQ33" s="153">
        <f t="shared" si="33"/>
        <v>2.490121143344317E-2</v>
      </c>
      <c r="BR33" s="152">
        <f t="shared" si="34"/>
        <v>4.15782101505048E-2</v>
      </c>
      <c r="BS33" s="151">
        <f t="shared" si="35"/>
        <v>7267999.0784958154</v>
      </c>
      <c r="BT33" s="540">
        <f t="shared" si="36"/>
        <v>11921201.1</v>
      </c>
      <c r="BU33" s="540">
        <f t="shared" si="37"/>
        <v>7267999.0784958154</v>
      </c>
      <c r="BV33" s="540">
        <f t="shared" si="41"/>
        <v>0</v>
      </c>
      <c r="BW33" s="541">
        <f t="shared" si="38"/>
        <v>2.490121143344317E-2</v>
      </c>
      <c r="BX33" s="542">
        <f t="shared" si="39"/>
        <v>5.6253329131111834E-2</v>
      </c>
      <c r="BY33" s="543">
        <f t="shared" si="40"/>
        <v>7397846.3802625854</v>
      </c>
    </row>
    <row r="34" spans="1:77">
      <c r="A34" s="403" t="s">
        <v>55</v>
      </c>
      <c r="B34" s="382" t="s">
        <v>84</v>
      </c>
      <c r="C34" s="179">
        <f>'Sizing - Reim Exp_FY2024'!B28</f>
        <v>4066652</v>
      </c>
      <c r="D34" s="178">
        <f>Ridership_FY2024!$E28</f>
        <v>404081</v>
      </c>
      <c r="E34" s="178">
        <f>'Revenue Hours_FY2024'!$F28</f>
        <v>47286</v>
      </c>
      <c r="F34" s="178">
        <f>'Revenue Miles_FY2024'!$F28</f>
        <v>554292</v>
      </c>
      <c r="G34" s="383">
        <f t="shared" si="42"/>
        <v>9.6915468053750155E-3</v>
      </c>
      <c r="H34" s="384">
        <f t="shared" si="43"/>
        <v>9.1495117401543709E-3</v>
      </c>
      <c r="J34" s="385">
        <f>Ridership_FY2024!B28/'Revenue Hours_FY2024'!C28</f>
        <v>5.8235136133212473</v>
      </c>
      <c r="K34" s="386">
        <f>Ridership_FY2024!C28/'Revenue Hours_FY2024'!D28</f>
        <v>7.2311072676573369</v>
      </c>
      <c r="L34" s="386">
        <f>Ridership_FY2024!D28/'Revenue Hours_FY2024'!E28</f>
        <v>7.0651748073074137</v>
      </c>
      <c r="M34" s="386">
        <f>Ridership_FY2024!E28/'Revenue Hours_FY2024'!F28</f>
        <v>8.5454680032144825</v>
      </c>
      <c r="N34" s="387">
        <f t="shared" si="2"/>
        <v>1.3624910960990697</v>
      </c>
      <c r="O34" s="388">
        <f t="shared" si="3"/>
        <v>1.2466128279614236E-2</v>
      </c>
      <c r="P34" s="389">
        <f t="shared" si="4"/>
        <v>1.196163785718707E-2</v>
      </c>
      <c r="Q34" s="385">
        <f>Ridership_FY2024!B28/'Revenue Miles_FY2024'!C28</f>
        <v>0.5399100487106463</v>
      </c>
      <c r="R34" s="386">
        <f>Ridership_FY2024!C28/'Revenue Miles_FY2024'!D28</f>
        <v>0.68740479018609113</v>
      </c>
      <c r="S34" s="386">
        <f>Ridership_FY2024!D28/'Revenue Miles_FY2024'!E28</f>
        <v>0.60435953803758868</v>
      </c>
      <c r="T34" s="386">
        <f>Ridership_FY2024!E28/'Revenue Miles_FY2024'!F28</f>
        <v>0.7290038463481342</v>
      </c>
      <c r="U34" s="387">
        <f t="shared" si="5"/>
        <v>1.3105322544942031</v>
      </c>
      <c r="V34" s="388">
        <f t="shared" si="6"/>
        <v>1.1990730248345688E-2</v>
      </c>
      <c r="W34" s="389">
        <f t="shared" si="7"/>
        <v>1.1545051902141602E-2</v>
      </c>
      <c r="X34" s="385">
        <f>'Op Cost_FY2024'!B28/'Revenue Hours_FY2024'!C28</f>
        <v>60.12394668815255</v>
      </c>
      <c r="Y34" s="386">
        <f>'Op Cost_FY2024'!C28/'Revenue Hours_FY2024'!D28</f>
        <v>63.118368571529423</v>
      </c>
      <c r="Z34" s="386">
        <f>'Op Cost_FY2024'!D28/'Revenue Hours_FY2024'!E28</f>
        <v>99.128071370778855</v>
      </c>
      <c r="AA34" s="386">
        <f>'Op Cost_FY2024'!E28/'Revenue Hours_FY2024'!F28</f>
        <v>86.295224802267057</v>
      </c>
      <c r="AB34" s="387">
        <f t="shared" si="8"/>
        <v>1.0617091010611783</v>
      </c>
      <c r="AC34" s="388">
        <f t="shared" si="9"/>
        <v>8.6177199865852452E-3</v>
      </c>
      <c r="AD34" s="389">
        <f t="shared" si="10"/>
        <v>8.665748219446795E-3</v>
      </c>
      <c r="AE34" s="385">
        <f>'Op Cost_FY2024'!B28/'Revenue Miles_FY2024'!C28</f>
        <v>5.5742160387195172</v>
      </c>
      <c r="AF34" s="386">
        <f>'Op Cost_FY2024'!C28/'Revenue Miles_FY2024'!D28</f>
        <v>6.0001694483031685</v>
      </c>
      <c r="AG34" s="386">
        <f>'Op Cost_FY2024'!D28/'Revenue Miles_FY2024'!E28</f>
        <v>8.4794781522232086</v>
      </c>
      <c r="AH34" s="386">
        <f>'Op Cost_FY2024'!E28/'Revenue Miles_FY2024'!F28</f>
        <v>7.3617443513527165</v>
      </c>
      <c r="AI34" s="387">
        <f t="shared" si="11"/>
        <v>1.0302319714596049</v>
      </c>
      <c r="AJ34" s="388">
        <f t="shared" si="12"/>
        <v>8.8810209677259288E-3</v>
      </c>
      <c r="AK34" s="389">
        <f t="shared" si="13"/>
        <v>8.8910582315383964E-3</v>
      </c>
      <c r="AL34" s="385">
        <f>'Op Cost_FY2024'!B28/Ridership_FY2024!B28</f>
        <v>10.324342086299829</v>
      </c>
      <c r="AM34" s="386">
        <f>'Op Cost_FY2024'!C28/Ridership_FY2024!C28</f>
        <v>8.7287280129060925</v>
      </c>
      <c r="AN34" s="386">
        <f>'Op Cost_FY2024'!D28/Ridership_FY2024!D28</f>
        <v>14.030519282870687</v>
      </c>
      <c r="AO34" s="386">
        <f>'Op Cost_FY2024'!E28/Ridership_FY2024!E28</f>
        <v>10.098361467131589</v>
      </c>
      <c r="AP34" s="390">
        <f t="shared" si="14"/>
        <v>0.80929745558716537</v>
      </c>
      <c r="AQ34" s="388">
        <f t="shared" si="15"/>
        <v>1.130549920426498E-2</v>
      </c>
      <c r="AR34" s="389">
        <f t="shared" si="16"/>
        <v>1.1968324141197934E-2</v>
      </c>
      <c r="AT34" s="391">
        <f t="shared" si="26"/>
        <v>0</v>
      </c>
      <c r="AU34" s="392">
        <f t="shared" si="17"/>
        <v>0</v>
      </c>
      <c r="AV34" s="392">
        <f t="shared" si="18"/>
        <v>0</v>
      </c>
      <c r="AW34" s="392">
        <f t="shared" si="19"/>
        <v>0</v>
      </c>
      <c r="AX34" s="393">
        <f t="shared" si="20"/>
        <v>0</v>
      </c>
      <c r="AY34" s="368">
        <f t="shared" si="27"/>
        <v>-1</v>
      </c>
      <c r="AZ34" s="394">
        <f t="shared" si="21"/>
        <v>0</v>
      </c>
      <c r="BA34" s="395">
        <f t="shared" si="21"/>
        <v>0</v>
      </c>
      <c r="BB34" s="395">
        <f t="shared" si="21"/>
        <v>0</v>
      </c>
      <c r="BC34" s="395">
        <f t="shared" si="21"/>
        <v>0</v>
      </c>
      <c r="BD34" s="395">
        <f t="shared" si="21"/>
        <v>0</v>
      </c>
      <c r="BE34" s="396">
        <f t="shared" si="28"/>
        <v>1158354.3502473154</v>
      </c>
      <c r="BG34" s="397">
        <f>'Op Cost_FY2024'!E28</f>
        <v>4080556</v>
      </c>
      <c r="BH34" s="398">
        <f t="shared" si="22"/>
        <v>0.28387169548642766</v>
      </c>
      <c r="BI34" s="399">
        <f t="shared" si="23"/>
        <v>1158354.3502473154</v>
      </c>
      <c r="BJ34" s="400">
        <f t="shared" si="24"/>
        <v>0</v>
      </c>
      <c r="BL34" s="548">
        <f t="shared" si="29"/>
        <v>0.95441670102725484</v>
      </c>
      <c r="BM34" s="548">
        <f t="shared" si="30"/>
        <v>1.1761610117248515</v>
      </c>
      <c r="BN34" s="549">
        <f t="shared" si="31"/>
        <v>1.3960943805344606</v>
      </c>
      <c r="BO34" s="155">
        <f t="shared" si="25"/>
        <v>1158354.3502473154</v>
      </c>
      <c r="BP34" s="154">
        <f t="shared" si="32"/>
        <v>1.1260227411565958E-2</v>
      </c>
      <c r="BQ34" s="153">
        <f t="shared" si="33"/>
        <v>1.1260227411565958E-2</v>
      </c>
      <c r="BR34" s="152">
        <f t="shared" si="34"/>
        <v>1.8801498991803361E-2</v>
      </c>
      <c r="BS34" s="151">
        <f t="shared" si="35"/>
        <v>1395968.2041954217</v>
      </c>
      <c r="BT34" s="540">
        <f t="shared" si="36"/>
        <v>1224166.8</v>
      </c>
      <c r="BU34" s="540">
        <f t="shared" si="37"/>
        <v>1224166.8</v>
      </c>
      <c r="BV34" s="540">
        <f t="shared" si="41"/>
        <v>171801.40419542161</v>
      </c>
      <c r="BW34" s="541">
        <f t="shared" si="38"/>
        <v>0</v>
      </c>
      <c r="BX34" s="542">
        <f t="shared" si="39"/>
        <v>0</v>
      </c>
      <c r="BY34" s="543">
        <f t="shared" si="40"/>
        <v>1224166.8</v>
      </c>
    </row>
    <row r="35" spans="1:77">
      <c r="A35" s="403" t="s">
        <v>55</v>
      </c>
      <c r="B35" s="382" t="s">
        <v>85</v>
      </c>
      <c r="C35" s="179">
        <f>'Sizing - Reim Exp_FY2024'!B29</f>
        <v>57445154</v>
      </c>
      <c r="D35" s="178">
        <f>Ridership_FY2024!$E29</f>
        <v>8838099</v>
      </c>
      <c r="E35" s="178">
        <f>'Revenue Hours_FY2024'!$F29</f>
        <v>589217</v>
      </c>
      <c r="F35" s="178">
        <f>'Revenue Miles_FY2024'!$F29</f>
        <v>7359404</v>
      </c>
      <c r="G35" s="404">
        <f t="shared" si="42"/>
        <v>0.16131111546406862</v>
      </c>
      <c r="H35" s="384">
        <f t="shared" si="43"/>
        <v>0.15228920361168105</v>
      </c>
      <c r="J35" s="385">
        <f>Ridership_FY2024!B29/'Revenue Hours_FY2024'!C29</f>
        <v>14.064279158532678</v>
      </c>
      <c r="K35" s="386">
        <f>Ridership_FY2024!C29/'Revenue Hours_FY2024'!D29</f>
        <v>15.08483737680125</v>
      </c>
      <c r="L35" s="386">
        <f>Ridership_FY2024!D29/'Revenue Hours_FY2024'!E29</f>
        <v>12.685908078458269</v>
      </c>
      <c r="M35" s="386">
        <f>Ridership_FY2024!E29/'Revenue Hours_FY2024'!F29</f>
        <v>14.999735241854868</v>
      </c>
      <c r="N35" s="387">
        <f t="shared" si="2"/>
        <v>1.2105616251265683</v>
      </c>
      <c r="O35" s="388">
        <f t="shared" si="3"/>
        <v>0.18435546581338746</v>
      </c>
      <c r="P35" s="389">
        <f t="shared" si="4"/>
        <v>0.17689480403140947</v>
      </c>
      <c r="Q35" s="385">
        <f>Ridership_FY2024!B29/'Revenue Miles_FY2024'!C29</f>
        <v>1.1305960147789027</v>
      </c>
      <c r="R35" s="386">
        <f>Ridership_FY2024!C29/'Revenue Miles_FY2024'!D29</f>
        <v>1.1884855709632467</v>
      </c>
      <c r="S35" s="386">
        <f>Ridership_FY2024!D29/'Revenue Miles_FY2024'!E29</f>
        <v>1.0554722157446399</v>
      </c>
      <c r="T35" s="386">
        <f>Ridership_FY2024!E29/'Revenue Miles_FY2024'!F29</f>
        <v>1.2009259173704827</v>
      </c>
      <c r="U35" s="387">
        <f t="shared" si="5"/>
        <v>1.2233193409195682</v>
      </c>
      <c r="V35" s="388">
        <f t="shared" si="6"/>
        <v>0.1862983281914076</v>
      </c>
      <c r="W35" s="389">
        <f t="shared" si="7"/>
        <v>0.17937388496824463</v>
      </c>
      <c r="X35" s="385">
        <f>'Op Cost_FY2024'!B29/'Revenue Hours_FY2024'!C29</f>
        <v>85.845490006118709</v>
      </c>
      <c r="Y35" s="386">
        <f>'Op Cost_FY2024'!C29/'Revenue Hours_FY2024'!D29</f>
        <v>87.19640419871854</v>
      </c>
      <c r="Z35" s="386">
        <f>'Op Cost_FY2024'!D29/'Revenue Hours_FY2024'!E29</f>
        <v>106.94058914595765</v>
      </c>
      <c r="AA35" s="386">
        <f>'Op Cost_FY2024'!E29/'Revenue Hours_FY2024'!F29</f>
        <v>99.059409351732896</v>
      </c>
      <c r="AB35" s="387">
        <f t="shared" si="8"/>
        <v>0.97517721343486441</v>
      </c>
      <c r="AC35" s="388">
        <f t="shared" si="9"/>
        <v>0.15616567072488616</v>
      </c>
      <c r="AD35" s="389">
        <f t="shared" si="10"/>
        <v>0.15703601244058712</v>
      </c>
      <c r="AE35" s="385">
        <f>'Op Cost_FY2024'!B29/'Revenue Miles_FY2024'!C29</f>
        <v>6.9009273631188233</v>
      </c>
      <c r="AF35" s="386">
        <f>'Op Cost_FY2024'!C29/'Revenue Miles_FY2024'!D29</f>
        <v>6.8699228000581352</v>
      </c>
      <c r="AG35" s="386">
        <f>'Op Cost_FY2024'!D29/'Revenue Miles_FY2024'!E29</f>
        <v>8.897496330640184</v>
      </c>
      <c r="AH35" s="386">
        <f>'Op Cost_FY2024'!E29/'Revenue Miles_FY2024'!F29</f>
        <v>7.9310074565820816</v>
      </c>
      <c r="AI35" s="387">
        <f t="shared" si="11"/>
        <v>0.97974863423532932</v>
      </c>
      <c r="AJ35" s="388">
        <f t="shared" si="12"/>
        <v>0.15543701546523631</v>
      </c>
      <c r="AK35" s="389">
        <f t="shared" si="13"/>
        <v>0.15561268922348062</v>
      </c>
      <c r="AL35" s="385">
        <f>'Op Cost_FY2024'!B29/Ridership_FY2024!B29</f>
        <v>6.1037959385239438</v>
      </c>
      <c r="AM35" s="386">
        <f>'Op Cost_FY2024'!C29/Ridership_FY2024!C29</f>
        <v>5.7804006778897481</v>
      </c>
      <c r="AN35" s="386">
        <f>'Op Cost_FY2024'!D29/Ridership_FY2024!D29</f>
        <v>8.4298726180707302</v>
      </c>
      <c r="AO35" s="386">
        <f>'Op Cost_FY2024'!E29/Ridership_FY2024!E29</f>
        <v>6.6040771889973175</v>
      </c>
      <c r="AP35" s="387">
        <f t="shared" si="14"/>
        <v>0.84876555859417591</v>
      </c>
      <c r="AQ35" s="388">
        <f t="shared" si="15"/>
        <v>0.17942434406023744</v>
      </c>
      <c r="AR35" s="389">
        <f t="shared" si="16"/>
        <v>0.18994373178361179</v>
      </c>
      <c r="AT35" s="391">
        <f t="shared" si="26"/>
        <v>0</v>
      </c>
      <c r="AU35" s="392">
        <f t="shared" si="17"/>
        <v>0</v>
      </c>
      <c r="AV35" s="392">
        <f t="shared" si="18"/>
        <v>0</v>
      </c>
      <c r="AW35" s="392">
        <f t="shared" si="19"/>
        <v>0</v>
      </c>
      <c r="AX35" s="393">
        <f t="shared" si="20"/>
        <v>0</v>
      </c>
      <c r="AY35" s="368">
        <f t="shared" si="27"/>
        <v>-1</v>
      </c>
      <c r="AZ35" s="394">
        <f t="shared" si="21"/>
        <v>0</v>
      </c>
      <c r="BA35" s="395">
        <f t="shared" si="21"/>
        <v>0</v>
      </c>
      <c r="BB35" s="395">
        <f t="shared" si="21"/>
        <v>0</v>
      </c>
      <c r="BC35" s="395">
        <f t="shared" si="21"/>
        <v>0</v>
      </c>
      <c r="BD35" s="395">
        <f t="shared" si="21"/>
        <v>0</v>
      </c>
      <c r="BE35" s="396">
        <f t="shared" si="28"/>
        <v>19280248.663445469</v>
      </c>
      <c r="BG35" s="397">
        <f>'Op Cost_FY2024'!E29</f>
        <v>58367488</v>
      </c>
      <c r="BH35" s="398">
        <f t="shared" si="22"/>
        <v>0.33032514031519516</v>
      </c>
      <c r="BI35" s="399">
        <f t="shared" si="23"/>
        <v>17510246.399999999</v>
      </c>
      <c r="BJ35" s="400">
        <f t="shared" si="24"/>
        <v>1770002.2634454705</v>
      </c>
      <c r="BL35" s="548">
        <f t="shared" si="29"/>
        <v>1.6752737030234315</v>
      </c>
      <c r="BM35" s="548">
        <f t="shared" si="30"/>
        <v>1.937551151556661</v>
      </c>
      <c r="BN35" s="549">
        <f t="shared" si="31"/>
        <v>2.1347820889126603</v>
      </c>
      <c r="BO35" s="155">
        <f t="shared" si="25"/>
        <v>0</v>
      </c>
      <c r="BP35" s="154">
        <f t="shared" si="32"/>
        <v>0.30010068707561738</v>
      </c>
      <c r="BQ35" s="153">
        <f t="shared" si="33"/>
        <v>0</v>
      </c>
      <c r="BR35" s="152">
        <f t="shared" si="34"/>
        <v>0</v>
      </c>
      <c r="BS35" s="151">
        <f t="shared" si="35"/>
        <v>17510246.399999999</v>
      </c>
      <c r="BT35" s="540">
        <f t="shared" si="36"/>
        <v>17510246.399999999</v>
      </c>
      <c r="BU35" s="540">
        <f t="shared" si="37"/>
        <v>17510246.399999999</v>
      </c>
      <c r="BV35" s="540">
        <f t="shared" si="41"/>
        <v>0</v>
      </c>
      <c r="BW35" s="541">
        <f t="shared" si="38"/>
        <v>0</v>
      </c>
      <c r="BX35" s="542">
        <f t="shared" si="39"/>
        <v>0</v>
      </c>
      <c r="BY35" s="543">
        <f t="shared" si="40"/>
        <v>17510246.399999999</v>
      </c>
    </row>
    <row r="36" spans="1:77">
      <c r="A36" s="403" t="s">
        <v>56</v>
      </c>
      <c r="B36" s="382" t="s">
        <v>86</v>
      </c>
      <c r="C36" s="179">
        <f>'Sizing - Reim Exp_FY2024'!B30</f>
        <v>9821438</v>
      </c>
      <c r="D36" s="178">
        <f>Ridership_FY2024!$E30</f>
        <v>3267836</v>
      </c>
      <c r="E36" s="178">
        <f>'Revenue Hours_FY2024'!$F30</f>
        <v>100136</v>
      </c>
      <c r="F36" s="178">
        <f>'Revenue Miles_FY2024'!$F30</f>
        <v>1050017</v>
      </c>
      <c r="G36" s="404">
        <f t="shared" si="42"/>
        <v>4.2918895386578282E-2</v>
      </c>
      <c r="H36" s="384">
        <f t="shared" si="43"/>
        <v>4.0518499791608868E-2</v>
      </c>
      <c r="J36" s="385">
        <f>Ridership_FY2024!B30/'Revenue Hours_FY2024'!C30</f>
        <v>38.430821690741176</v>
      </c>
      <c r="K36" s="386">
        <f>Ridership_FY2024!C30/'Revenue Hours_FY2024'!D30</f>
        <v>41.020012326113751</v>
      </c>
      <c r="L36" s="386">
        <f>Ridership_FY2024!D30/'Revenue Hours_FY2024'!E30</f>
        <v>7.7359808402431227</v>
      </c>
      <c r="M36" s="386">
        <f>Ridership_FY2024!E30/'Revenue Hours_FY2024'!F30</f>
        <v>32.633977790205321</v>
      </c>
      <c r="N36" s="387">
        <f t="shared" si="2"/>
        <v>1.570997120982047</v>
      </c>
      <c r="O36" s="388">
        <f t="shared" si="3"/>
        <v>6.3654446519129201E-2</v>
      </c>
      <c r="P36" s="389">
        <f t="shared" si="4"/>
        <v>6.1078421478033065E-2</v>
      </c>
      <c r="Q36" s="385">
        <f>Ridership_FY2024!B30/'Revenue Miles_FY2024'!C30</f>
        <v>3.9038389560856674</v>
      </c>
      <c r="R36" s="386">
        <f>Ridership_FY2024!C30/'Revenue Miles_FY2024'!D30</f>
        <v>4.0590237544714967</v>
      </c>
      <c r="S36" s="386">
        <f>Ridership_FY2024!D30/'Revenue Miles_FY2024'!E30</f>
        <v>0.74890286156611607</v>
      </c>
      <c r="T36" s="386">
        <f>Ridership_FY2024!E30/'Revenue Miles_FY2024'!F30</f>
        <v>3.1121743743196539</v>
      </c>
      <c r="U36" s="387">
        <f t="shared" si="5"/>
        <v>1.5695446744042203</v>
      </c>
      <c r="V36" s="388">
        <f t="shared" si="6"/>
        <v>6.3595595562768212E-2</v>
      </c>
      <c r="W36" s="389">
        <f t="shared" si="7"/>
        <v>6.1231837954244847E-2</v>
      </c>
      <c r="X36" s="385">
        <f>'Op Cost_FY2024'!B30/'Revenue Hours_FY2024'!C30</f>
        <v>85.193729576130707</v>
      </c>
      <c r="Y36" s="386">
        <f>'Op Cost_FY2024'!C30/'Revenue Hours_FY2024'!D30</f>
        <v>80.165865469272759</v>
      </c>
      <c r="Z36" s="386">
        <f>'Op Cost_FY2024'!D30/'Revenue Hours_FY2024'!E30</f>
        <v>94.638769882541524</v>
      </c>
      <c r="AA36" s="386">
        <f>'Op Cost_FY2024'!E30/'Revenue Hours_FY2024'!F30</f>
        <v>99.879114404410004</v>
      </c>
      <c r="AB36" s="387">
        <f t="shared" si="8"/>
        <v>0.98112606835854699</v>
      </c>
      <c r="AC36" s="388">
        <f t="shared" si="9"/>
        <v>4.1297954562962043E-2</v>
      </c>
      <c r="AD36" s="389">
        <f t="shared" si="10"/>
        <v>4.1528116111671357E-2</v>
      </c>
      <c r="AE36" s="385">
        <f>'Op Cost_FY2024'!B30/'Revenue Miles_FY2024'!C30</f>
        <v>8.6540590521293268</v>
      </c>
      <c r="AF36" s="386">
        <f>'Op Cost_FY2024'!C30/'Revenue Miles_FY2024'!D30</f>
        <v>7.9325951842875142</v>
      </c>
      <c r="AG36" s="386">
        <f>'Op Cost_FY2024'!D30/'Revenue Miles_FY2024'!E30</f>
        <v>9.1617659148578081</v>
      </c>
      <c r="AH36" s="386">
        <f>'Op Cost_FY2024'!E30/'Revenue Miles_FY2024'!F30</f>
        <v>9.5250791177666656</v>
      </c>
      <c r="AI36" s="387">
        <f t="shared" si="11"/>
        <v>0.96661079663279281</v>
      </c>
      <c r="AJ36" s="388">
        <f t="shared" si="12"/>
        <v>4.1918112163402098E-2</v>
      </c>
      <c r="AK36" s="389">
        <f t="shared" si="13"/>
        <v>4.1965487701849047E-2</v>
      </c>
      <c r="AL36" s="385">
        <f>'Op Cost_FY2024'!B30/Ridership_FY2024!B30</f>
        <v>2.216807391257412</v>
      </c>
      <c r="AM36" s="386">
        <f>'Op Cost_FY2024'!C30/Ridership_FY2024!C30</f>
        <v>1.9543111014191081</v>
      </c>
      <c r="AN36" s="386">
        <f>'Op Cost_FY2024'!D30/Ridership_FY2024!D30</f>
        <v>12.233583799771571</v>
      </c>
      <c r="AO36" s="386">
        <f>'Op Cost_FY2024'!E30/Ridership_FY2024!E30</f>
        <v>3.0605865777841972</v>
      </c>
      <c r="AP36" s="387">
        <f t="shared" si="14"/>
        <v>1.2723471939974662</v>
      </c>
      <c r="AQ36" s="388">
        <f t="shared" si="15"/>
        <v>3.1845474240649409E-2</v>
      </c>
      <c r="AR36" s="389">
        <f t="shared" si="16"/>
        <v>3.3712527970324216E-2</v>
      </c>
      <c r="AT36" s="391">
        <f t="shared" si="26"/>
        <v>0</v>
      </c>
      <c r="AU36" s="392">
        <f t="shared" si="17"/>
        <v>0</v>
      </c>
      <c r="AV36" s="392">
        <f t="shared" si="18"/>
        <v>0</v>
      </c>
      <c r="AW36" s="392">
        <f t="shared" si="19"/>
        <v>0</v>
      </c>
      <c r="AX36" s="393">
        <f t="shared" si="20"/>
        <v>0</v>
      </c>
      <c r="AY36" s="368">
        <f t="shared" si="27"/>
        <v>-1</v>
      </c>
      <c r="AZ36" s="394">
        <f t="shared" si="21"/>
        <v>0</v>
      </c>
      <c r="BA36" s="395">
        <f t="shared" si="21"/>
        <v>0</v>
      </c>
      <c r="BB36" s="395">
        <f t="shared" si="21"/>
        <v>0</v>
      </c>
      <c r="BC36" s="395">
        <f t="shared" si="21"/>
        <v>0</v>
      </c>
      <c r="BD36" s="395">
        <f t="shared" si="21"/>
        <v>0</v>
      </c>
      <c r="BE36" s="396">
        <f t="shared" si="28"/>
        <v>5129757.9403196862</v>
      </c>
      <c r="BG36" s="397">
        <f>'Op Cost_FY2024'!E30</f>
        <v>10001495</v>
      </c>
      <c r="BH36" s="398">
        <f t="shared" si="22"/>
        <v>0.51289911561418433</v>
      </c>
      <c r="BI36" s="399">
        <f t="shared" si="23"/>
        <v>3000448.5</v>
      </c>
      <c r="BJ36" s="400">
        <f t="shared" si="24"/>
        <v>2129309.4403196862</v>
      </c>
      <c r="BL36" s="548">
        <f t="shared" si="29"/>
        <v>3.6447873202741339</v>
      </c>
      <c r="BM36" s="548">
        <f t="shared" si="30"/>
        <v>5.0211232479779495</v>
      </c>
      <c r="BN36" s="549">
        <f t="shared" si="31"/>
        <v>4.6063933623714064</v>
      </c>
      <c r="BO36" s="155">
        <f t="shared" si="25"/>
        <v>0</v>
      </c>
      <c r="BP36" s="154">
        <f t="shared" si="32"/>
        <v>0.18110449813511295</v>
      </c>
      <c r="BQ36" s="153">
        <f t="shared" si="33"/>
        <v>0</v>
      </c>
      <c r="BR36" s="152">
        <f t="shared" si="34"/>
        <v>0</v>
      </c>
      <c r="BS36" s="151">
        <f t="shared" si="35"/>
        <v>3000448.5</v>
      </c>
      <c r="BT36" s="540">
        <f t="shared" si="36"/>
        <v>3000448.5</v>
      </c>
      <c r="BU36" s="540">
        <f t="shared" si="37"/>
        <v>3000448.5</v>
      </c>
      <c r="BV36" s="540">
        <f t="shared" si="41"/>
        <v>0</v>
      </c>
      <c r="BW36" s="541">
        <f t="shared" si="38"/>
        <v>0</v>
      </c>
      <c r="BX36" s="542">
        <f t="shared" si="39"/>
        <v>0</v>
      </c>
      <c r="BY36" s="543">
        <f t="shared" si="40"/>
        <v>3000448.5</v>
      </c>
    </row>
    <row r="37" spans="1:77">
      <c r="A37" s="403" t="s">
        <v>56</v>
      </c>
      <c r="B37" s="382" t="s">
        <v>87</v>
      </c>
      <c r="C37" s="179">
        <f>'Sizing - Reim Exp_FY2024'!B31</f>
        <v>1758084</v>
      </c>
      <c r="D37" s="178">
        <f>Ridership_FY2024!$E31</f>
        <v>125489</v>
      </c>
      <c r="E37" s="178">
        <f>'Revenue Hours_FY2024'!$F31</f>
        <v>31063</v>
      </c>
      <c r="F37" s="178">
        <f>'Revenue Miles_FY2024'!$F31</f>
        <v>373643</v>
      </c>
      <c r="G37" s="404">
        <f t="shared" si="42"/>
        <v>4.4378819736475023E-3</v>
      </c>
      <c r="H37" s="384">
        <f t="shared" si="43"/>
        <v>4.1896772553157036E-3</v>
      </c>
      <c r="J37" s="385">
        <f>Ridership_FY2024!B31/'Revenue Hours_FY2024'!C31</f>
        <v>10.469111047455362</v>
      </c>
      <c r="K37" s="386">
        <f>Ridership_FY2024!C31/'Revenue Hours_FY2024'!D31</f>
        <v>8.58772210149559</v>
      </c>
      <c r="L37" s="386">
        <f>Ridership_FY2024!D31/'Revenue Hours_FY2024'!E31</f>
        <v>3.353975911522431</v>
      </c>
      <c r="M37" s="386">
        <f>Ridership_FY2024!E31/'Revenue Hours_FY2024'!F31</f>
        <v>4.039822296622992</v>
      </c>
      <c r="N37" s="387">
        <f t="shared" si="2"/>
        <v>0.83958861914202576</v>
      </c>
      <c r="O37" s="388">
        <f t="shared" si="3"/>
        <v>3.5176053414412642E-3</v>
      </c>
      <c r="P37" s="389">
        <f t="shared" si="4"/>
        <v>3.3752517441709914E-3</v>
      </c>
      <c r="Q37" s="385">
        <f>Ridership_FY2024!B31/'Revenue Miles_FY2024'!C31</f>
        <v>0.95972094977446065</v>
      </c>
      <c r="R37" s="386">
        <f>Ridership_FY2024!C31/'Revenue Miles_FY2024'!D31</f>
        <v>0.78227240838260248</v>
      </c>
      <c r="S37" s="386">
        <f>Ridership_FY2024!D31/'Revenue Miles_FY2024'!E31</f>
        <v>0.29134203947124609</v>
      </c>
      <c r="T37" s="386">
        <f>Ridership_FY2024!E31/'Revenue Miles_FY2024'!F31</f>
        <v>0.3358526722031458</v>
      </c>
      <c r="U37" s="387">
        <f t="shared" si="5"/>
        <v>0.81813252123285196</v>
      </c>
      <c r="V37" s="388">
        <f t="shared" si="6"/>
        <v>3.4277112160433719E-3</v>
      </c>
      <c r="W37" s="389">
        <f t="shared" si="7"/>
        <v>3.3003080775862986E-3</v>
      </c>
      <c r="X37" s="385">
        <f>'Op Cost_FY2024'!B31/'Revenue Hours_FY2024'!C31</f>
        <v>45.655272287469366</v>
      </c>
      <c r="Y37" s="386">
        <f>'Op Cost_FY2024'!C31/'Revenue Hours_FY2024'!D31</f>
        <v>50.245430141889301</v>
      </c>
      <c r="Z37" s="386">
        <f>'Op Cost_FY2024'!D31/'Revenue Hours_FY2024'!E31</f>
        <v>54.975878704341831</v>
      </c>
      <c r="AA37" s="386">
        <f>'Op Cost_FY2024'!E31/'Revenue Hours_FY2024'!F31</f>
        <v>56.597366641985644</v>
      </c>
      <c r="AB37" s="387">
        <f t="shared" si="8"/>
        <v>1.0011244458616895</v>
      </c>
      <c r="AC37" s="388">
        <f t="shared" si="9"/>
        <v>4.1849714814520961E-3</v>
      </c>
      <c r="AD37" s="389">
        <f t="shared" si="10"/>
        <v>4.2082951430636372E-3</v>
      </c>
      <c r="AE37" s="385">
        <f>'Op Cost_FY2024'!B31/'Revenue Miles_FY2024'!C31</f>
        <v>4.1852953018959314</v>
      </c>
      <c r="AF37" s="386">
        <f>'Op Cost_FY2024'!C31/'Revenue Miles_FY2024'!D31</f>
        <v>4.5769545384416093</v>
      </c>
      <c r="AG37" s="386">
        <f>'Op Cost_FY2024'!D31/'Revenue Miles_FY2024'!E31</f>
        <v>4.775462032515458</v>
      </c>
      <c r="AH37" s="386">
        <f>'Op Cost_FY2024'!E31/'Revenue Miles_FY2024'!F31</f>
        <v>4.7052507339893959</v>
      </c>
      <c r="AI37" s="387">
        <f t="shared" si="11"/>
        <v>0.97631099927011855</v>
      </c>
      <c r="AJ37" s="388">
        <f t="shared" si="12"/>
        <v>4.291334685820266E-3</v>
      </c>
      <c r="AK37" s="389">
        <f t="shared" si="13"/>
        <v>4.2961847203495948E-3</v>
      </c>
      <c r="AL37" s="385">
        <f>'Op Cost_FY2024'!B31/Ridership_FY2024!B31</f>
        <v>4.3609502354611482</v>
      </c>
      <c r="AM37" s="386">
        <f>'Op Cost_FY2024'!C31/Ridership_FY2024!C31</f>
        <v>5.8508449095178374</v>
      </c>
      <c r="AN37" s="386">
        <f>'Op Cost_FY2024'!D31/Ridership_FY2024!D31</f>
        <v>16.391256274523233</v>
      </c>
      <c r="AO37" s="386">
        <f>'Op Cost_FY2024'!E31/Ridership_FY2024!E31</f>
        <v>14.009865406529656</v>
      </c>
      <c r="AP37" s="390">
        <f t="shared" si="14"/>
        <v>1.1962544231491588</v>
      </c>
      <c r="AQ37" s="388">
        <f t="shared" si="15"/>
        <v>3.5023295832723542E-3</v>
      </c>
      <c r="AR37" s="389">
        <f t="shared" si="16"/>
        <v>3.7076660609641275E-3</v>
      </c>
      <c r="AT37" s="391">
        <f t="shared" si="26"/>
        <v>0</v>
      </c>
      <c r="AU37" s="392">
        <f t="shared" si="17"/>
        <v>0</v>
      </c>
      <c r="AV37" s="392">
        <f t="shared" si="18"/>
        <v>0</v>
      </c>
      <c r="AW37" s="392">
        <f t="shared" si="19"/>
        <v>0</v>
      </c>
      <c r="AX37" s="393">
        <f t="shared" si="20"/>
        <v>0</v>
      </c>
      <c r="AY37" s="368">
        <f t="shared" si="27"/>
        <v>-1</v>
      </c>
      <c r="AZ37" s="394">
        <f t="shared" si="21"/>
        <v>0</v>
      </c>
      <c r="BA37" s="395">
        <f t="shared" si="21"/>
        <v>0</v>
      </c>
      <c r="BB37" s="395">
        <f t="shared" si="21"/>
        <v>0</v>
      </c>
      <c r="BC37" s="395">
        <f t="shared" si="21"/>
        <v>0</v>
      </c>
      <c r="BD37" s="395">
        <f t="shared" si="21"/>
        <v>0</v>
      </c>
      <c r="BE37" s="396">
        <f t="shared" si="28"/>
        <v>530425.12132404733</v>
      </c>
      <c r="BG37" s="397">
        <f>'Op Cost_FY2024'!E31</f>
        <v>1758084</v>
      </c>
      <c r="BH37" s="398">
        <f t="shared" si="22"/>
        <v>0.30170635835605542</v>
      </c>
      <c r="BI37" s="399">
        <f t="shared" si="23"/>
        <v>527425.19999999995</v>
      </c>
      <c r="BJ37" s="400">
        <f t="shared" si="24"/>
        <v>2999.9213240473764</v>
      </c>
      <c r="BL37" s="548">
        <f t="shared" si="29"/>
        <v>0.451195167734395</v>
      </c>
      <c r="BM37" s="548">
        <f t="shared" si="30"/>
        <v>0.54185834643773267</v>
      </c>
      <c r="BN37" s="549">
        <f t="shared" si="31"/>
        <v>1.0063098600716953</v>
      </c>
      <c r="BO37" s="155">
        <f t="shared" si="25"/>
        <v>0</v>
      </c>
      <c r="BP37" s="154">
        <f t="shared" si="32"/>
        <v>3.1482001966807289E-3</v>
      </c>
      <c r="BQ37" s="153">
        <f t="shared" si="33"/>
        <v>0</v>
      </c>
      <c r="BR37" s="152">
        <f t="shared" si="34"/>
        <v>0</v>
      </c>
      <c r="BS37" s="151">
        <f t="shared" si="35"/>
        <v>527425.19999999995</v>
      </c>
      <c r="BT37" s="540">
        <f t="shared" si="36"/>
        <v>527425.19999999995</v>
      </c>
      <c r="BU37" s="540">
        <f t="shared" si="37"/>
        <v>527425.19999999995</v>
      </c>
      <c r="BV37" s="540">
        <f t="shared" si="41"/>
        <v>0</v>
      </c>
      <c r="BW37" s="541">
        <f t="shared" si="38"/>
        <v>0</v>
      </c>
      <c r="BX37" s="542">
        <f t="shared" si="39"/>
        <v>0</v>
      </c>
      <c r="BY37" s="543">
        <f t="shared" si="40"/>
        <v>527425.19999999995</v>
      </c>
    </row>
    <row r="38" spans="1:77">
      <c r="A38" s="403" t="s">
        <v>56</v>
      </c>
      <c r="B38" s="382" t="s">
        <v>88</v>
      </c>
      <c r="C38" s="179">
        <f>'Sizing - Reim Exp_FY2024'!B32</f>
        <v>10624308</v>
      </c>
      <c r="D38" s="178">
        <f>Ridership_FY2024!$E32</f>
        <v>1134478</v>
      </c>
      <c r="E38" s="178">
        <f>'Revenue Hours_FY2024'!$F32</f>
        <v>155800</v>
      </c>
      <c r="F38" s="178">
        <f>'Revenue Miles_FY2024'!$F32</f>
        <v>2582667</v>
      </c>
      <c r="G38" s="404">
        <f t="shared" si="42"/>
        <v>2.990475036668868E-2</v>
      </c>
      <c r="H38" s="384">
        <f t="shared" si="43"/>
        <v>2.8232218247623293E-2</v>
      </c>
      <c r="J38" s="385">
        <f>Ridership_FY2024!B32/'Revenue Hours_FY2024'!C32</f>
        <v>13.489683908981412</v>
      </c>
      <c r="K38" s="386">
        <f>Ridership_FY2024!C32/'Revenue Hours_FY2024'!D32</f>
        <v>13.061303342191943</v>
      </c>
      <c r="L38" s="386">
        <f>Ridership_FY2024!D32/'Revenue Hours_FY2024'!E32</f>
        <v>7.5369057433360815</v>
      </c>
      <c r="M38" s="386">
        <f>Ridership_FY2024!E32/'Revenue Hours_FY2024'!F32</f>
        <v>7.2816302952503209</v>
      </c>
      <c r="N38" s="387">
        <f t="shared" si="2"/>
        <v>0.94844527831451908</v>
      </c>
      <c r="O38" s="388">
        <f t="shared" si="3"/>
        <v>2.677671409330332E-2</v>
      </c>
      <c r="P38" s="389">
        <f t="shared" si="4"/>
        <v>2.5693090092238566E-2</v>
      </c>
      <c r="Q38" s="385">
        <f>Ridership_FY2024!B32/'Revenue Miles_FY2024'!C32</f>
        <v>0.84707708145185789</v>
      </c>
      <c r="R38" s="386">
        <f>Ridership_FY2024!C32/'Revenue Miles_FY2024'!D32</f>
        <v>0.76270122520155903</v>
      </c>
      <c r="S38" s="386">
        <f>Ridership_FY2024!D32/'Revenue Miles_FY2024'!E32</f>
        <v>0.4322966250764449</v>
      </c>
      <c r="T38" s="386">
        <f>Ridership_FY2024!E32/'Revenue Miles_FY2024'!F32</f>
        <v>0.43926607650153893</v>
      </c>
      <c r="U38" s="387">
        <f t="shared" si="5"/>
        <v>0.93488870997493956</v>
      </c>
      <c r="V38" s="388">
        <f t="shared" si="6"/>
        <v>2.6393982097251488E-2</v>
      </c>
      <c r="W38" s="389">
        <f t="shared" si="7"/>
        <v>2.5412955416873436E-2</v>
      </c>
      <c r="X38" s="385">
        <f>'Op Cost_FY2024'!B32/'Revenue Hours_FY2024'!C32</f>
        <v>62.404362121162798</v>
      </c>
      <c r="Y38" s="386">
        <f>'Op Cost_FY2024'!C32/'Revenue Hours_FY2024'!D32</f>
        <v>69.193957147306961</v>
      </c>
      <c r="Z38" s="386">
        <f>'Op Cost_FY2024'!D32/'Revenue Hours_FY2024'!E32</f>
        <v>71.568899422918378</v>
      </c>
      <c r="AA38" s="386">
        <f>'Op Cost_FY2024'!E32/'Revenue Hours_FY2024'!F32</f>
        <v>68.191964056482675</v>
      </c>
      <c r="AB38" s="387">
        <f t="shared" si="8"/>
        <v>0.9619893036190682</v>
      </c>
      <c r="AC38" s="388">
        <f t="shared" si="9"/>
        <v>2.934774653045704E-2</v>
      </c>
      <c r="AD38" s="389">
        <f t="shared" si="10"/>
        <v>2.951130724100701E-2</v>
      </c>
      <c r="AE38" s="385">
        <f>'Op Cost_FY2024'!B32/'Revenue Miles_FY2024'!C32</f>
        <v>3.9186466704578953</v>
      </c>
      <c r="AF38" s="386">
        <f>'Op Cost_FY2024'!C32/'Revenue Miles_FY2024'!D32</f>
        <v>4.0405091674364728</v>
      </c>
      <c r="AG38" s="386">
        <f>'Op Cost_FY2024'!D32/'Revenue Miles_FY2024'!E32</f>
        <v>4.104999416812201</v>
      </c>
      <c r="AH38" s="386">
        <f>'Op Cost_FY2024'!E32/'Revenue Miles_FY2024'!F32</f>
        <v>4.1136964231161048</v>
      </c>
      <c r="AI38" s="387">
        <f t="shared" si="11"/>
        <v>0.95410645766052327</v>
      </c>
      <c r="AJ38" s="388">
        <f t="shared" si="12"/>
        <v>2.9590218178429398E-2</v>
      </c>
      <c r="AK38" s="389">
        <f t="shared" si="13"/>
        <v>2.9623660822828583E-2</v>
      </c>
      <c r="AL38" s="385">
        <f>'Op Cost_FY2024'!B32/Ridership_FY2024!B32</f>
        <v>4.6260803842567482</v>
      </c>
      <c r="AM38" s="386">
        <f>'Op Cost_FY2024'!C32/Ridership_FY2024!C32</f>
        <v>5.2976303615726961</v>
      </c>
      <c r="AN38" s="386">
        <f>'Op Cost_FY2024'!D32/Ridership_FY2024!D32</f>
        <v>9.4957933481120662</v>
      </c>
      <c r="AO38" s="386">
        <f>'Op Cost_FY2024'!E32/Ridership_FY2024!E32</f>
        <v>9.3649308316247648</v>
      </c>
      <c r="AP38" s="387">
        <f t="shared" si="14"/>
        <v>1.0470853269200342</v>
      </c>
      <c r="AQ38" s="388">
        <f t="shared" si="15"/>
        <v>2.6962672020882386E-2</v>
      </c>
      <c r="AR38" s="389">
        <f t="shared" si="16"/>
        <v>2.8543454174672047E-2</v>
      </c>
      <c r="AT38" s="391">
        <f t="shared" si="26"/>
        <v>0</v>
      </c>
      <c r="AU38" s="392">
        <f t="shared" si="17"/>
        <v>0</v>
      </c>
      <c r="AV38" s="392">
        <f t="shared" si="18"/>
        <v>0</v>
      </c>
      <c r="AW38" s="392">
        <f t="shared" si="19"/>
        <v>0</v>
      </c>
      <c r="AX38" s="393">
        <f t="shared" si="20"/>
        <v>0</v>
      </c>
      <c r="AY38" s="368">
        <f t="shared" si="27"/>
        <v>-1</v>
      </c>
      <c r="AZ38" s="394">
        <f t="shared" si="21"/>
        <v>0</v>
      </c>
      <c r="BA38" s="395">
        <f t="shared" si="21"/>
        <v>0</v>
      </c>
      <c r="BB38" s="395">
        <f t="shared" si="21"/>
        <v>0</v>
      </c>
      <c r="BC38" s="395">
        <f t="shared" si="21"/>
        <v>0</v>
      </c>
      <c r="BD38" s="395">
        <f t="shared" si="21"/>
        <v>0</v>
      </c>
      <c r="BE38" s="396">
        <f t="shared" si="28"/>
        <v>3574279.5630004099</v>
      </c>
      <c r="BG38" s="397">
        <f>'Op Cost_FY2024'!E32</f>
        <v>10624308</v>
      </c>
      <c r="BH38" s="398">
        <f t="shared" si="22"/>
        <v>0.3364246935424321</v>
      </c>
      <c r="BI38" s="399">
        <f t="shared" si="23"/>
        <v>3187292.4</v>
      </c>
      <c r="BJ38" s="400">
        <f t="shared" si="24"/>
        <v>386987.16300040996</v>
      </c>
      <c r="BL38" s="548">
        <f t="shared" si="29"/>
        <v>0.81326260444468434</v>
      </c>
      <c r="BM38" s="548">
        <f t="shared" si="30"/>
        <v>0.70870357617802215</v>
      </c>
      <c r="BN38" s="549">
        <f t="shared" si="31"/>
        <v>1.5054319087183445</v>
      </c>
      <c r="BO38" s="155">
        <f t="shared" si="25"/>
        <v>0</v>
      </c>
      <c r="BP38" s="154">
        <f t="shared" si="32"/>
        <v>3.1992961446146682E-2</v>
      </c>
      <c r="BQ38" s="153">
        <f t="shared" si="33"/>
        <v>0</v>
      </c>
      <c r="BR38" s="152">
        <f t="shared" si="34"/>
        <v>0</v>
      </c>
      <c r="BS38" s="151">
        <f t="shared" si="35"/>
        <v>3187292.4</v>
      </c>
      <c r="BT38" s="540">
        <f t="shared" si="36"/>
        <v>3187292.4</v>
      </c>
      <c r="BU38" s="540">
        <f t="shared" si="37"/>
        <v>3187292.4</v>
      </c>
      <c r="BV38" s="540">
        <f t="shared" si="41"/>
        <v>0</v>
      </c>
      <c r="BW38" s="541">
        <f t="shared" si="38"/>
        <v>0</v>
      </c>
      <c r="BX38" s="542">
        <f t="shared" si="39"/>
        <v>0</v>
      </c>
      <c r="BY38" s="543">
        <f t="shared" si="40"/>
        <v>3187292.4</v>
      </c>
    </row>
    <row r="39" spans="1:77">
      <c r="A39" s="403" t="s">
        <v>56</v>
      </c>
      <c r="B39" s="382" t="s">
        <v>89</v>
      </c>
      <c r="C39" s="179">
        <f>'Sizing - Reim Exp_FY2024'!B33</f>
        <v>741857</v>
      </c>
      <c r="D39" s="178">
        <f>Ridership_FY2024!$E33</f>
        <v>29480</v>
      </c>
      <c r="E39" s="178">
        <f>'Revenue Hours_FY2024'!$F33</f>
        <v>19090</v>
      </c>
      <c r="F39" s="178">
        <f>'Revenue Miles_FY2024'!$F33</f>
        <v>220116</v>
      </c>
      <c r="G39" s="404">
        <f t="shared" si="42"/>
        <v>2.0189733452389809E-3</v>
      </c>
      <c r="H39" s="384">
        <f t="shared" si="43"/>
        <v>1.9060549049897506E-3</v>
      </c>
      <c r="J39" s="385">
        <f>Ridership_FY2024!B33/'Revenue Hours_FY2024'!C33</f>
        <v>7.7063312747903803</v>
      </c>
      <c r="K39" s="386">
        <f>Ridership_FY2024!C33/'Revenue Hours_FY2024'!D33</f>
        <v>3.4694402420574888</v>
      </c>
      <c r="L39" s="386">
        <f>Ridership_FY2024!D33/'Revenue Hours_FY2024'!E33</f>
        <v>2.0660778541053322</v>
      </c>
      <c r="M39" s="386">
        <f>Ridership_FY2024!E33/'Revenue Hours_FY2024'!F33</f>
        <v>1.5442640125720273</v>
      </c>
      <c r="N39" s="387">
        <f t="shared" si="2"/>
        <v>0.73045267772485667</v>
      </c>
      <c r="O39" s="388">
        <f t="shared" si="3"/>
        <v>1.3922829092403606E-3</v>
      </c>
      <c r="P39" s="389">
        <f t="shared" si="4"/>
        <v>1.3359387599370511E-3</v>
      </c>
      <c r="Q39" s="385">
        <f>Ridership_FY2024!B33/'Revenue Miles_FY2024'!C33</f>
        <v>0.5486185080601923</v>
      </c>
      <c r="R39" s="386">
        <f>Ridership_FY2024!C33/'Revenue Miles_FY2024'!D33</f>
        <v>0.3128535569419939</v>
      </c>
      <c r="S39" s="386">
        <f>Ridership_FY2024!D33/'Revenue Miles_FY2024'!E33</f>
        <v>0.17929853281414856</v>
      </c>
      <c r="T39" s="386">
        <f>Ridership_FY2024!E33/'Revenue Miles_FY2024'!F33</f>
        <v>0.13392938268912755</v>
      </c>
      <c r="U39" s="387">
        <f t="shared" si="5"/>
        <v>0.75640028467482434</v>
      </c>
      <c r="V39" s="388">
        <f t="shared" si="6"/>
        <v>1.4417404727400927E-3</v>
      </c>
      <c r="W39" s="389">
        <f t="shared" si="7"/>
        <v>1.3881530350913346E-3</v>
      </c>
      <c r="X39" s="385">
        <f>'Op Cost_FY2024'!B33/'Revenue Hours_FY2024'!C33</f>
        <v>37.027162725310035</v>
      </c>
      <c r="Y39" s="386">
        <f>'Op Cost_FY2024'!C33/'Revenue Hours_FY2024'!D33</f>
        <v>37.011396873424104</v>
      </c>
      <c r="Z39" s="386">
        <f>'Op Cost_FY2024'!D33/'Revenue Hours_FY2024'!E33</f>
        <v>43.551303020390364</v>
      </c>
      <c r="AA39" s="386">
        <f>'Op Cost_FY2024'!E33/'Revenue Hours_FY2024'!F33</f>
        <v>41.282399161864852</v>
      </c>
      <c r="AB39" s="387">
        <f t="shared" si="8"/>
        <v>0.96349729165483955</v>
      </c>
      <c r="AC39" s="388">
        <f t="shared" si="9"/>
        <v>1.9782670086347996E-3</v>
      </c>
      <c r="AD39" s="389">
        <f t="shared" si="10"/>
        <v>1.9892922761882751E-3</v>
      </c>
      <c r="AE39" s="385">
        <f>'Op Cost_FY2024'!B33/'Revenue Miles_FY2024'!C33</f>
        <v>2.6359867033634772</v>
      </c>
      <c r="AF39" s="386">
        <f>'Op Cost_FY2024'!C33/'Revenue Miles_FY2024'!D33</f>
        <v>3.3374683958746383</v>
      </c>
      <c r="AG39" s="386">
        <f>'Op Cost_FY2024'!D33/'Revenue Miles_FY2024'!E33</f>
        <v>3.7794726458078038</v>
      </c>
      <c r="AH39" s="386">
        <f>'Op Cost_FY2024'!E33/'Revenue Miles_FY2024'!F33</f>
        <v>3.5802985698449907</v>
      </c>
      <c r="AI39" s="387">
        <f t="shared" si="11"/>
        <v>1.0441051212287928</v>
      </c>
      <c r="AJ39" s="388">
        <f t="shared" si="12"/>
        <v>1.8255392740019712E-3</v>
      </c>
      <c r="AK39" s="389">
        <f t="shared" si="13"/>
        <v>1.8276024849052858E-3</v>
      </c>
      <c r="AL39" s="385">
        <f>'Op Cost_FY2024'!B33/Ridership_FY2024!B33</f>
        <v>4.8047717396261573</v>
      </c>
      <c r="AM39" s="386">
        <f>'Op Cost_FY2024'!C33/Ridership_FY2024!C33</f>
        <v>10.667829474265615</v>
      </c>
      <c r="AN39" s="386">
        <f>'Op Cost_FY2024'!D33/Ridership_FY2024!D33</f>
        <v>21.079216803884314</v>
      </c>
      <c r="AO39" s="386">
        <f>'Op Cost_FY2024'!E33/Ridership_FY2024!E33</f>
        <v>26.732734056987788</v>
      </c>
      <c r="AP39" s="390">
        <f t="shared" si="14"/>
        <v>1.5438760170177328</v>
      </c>
      <c r="AQ39" s="388">
        <f t="shared" si="15"/>
        <v>1.2345906562313404E-3</v>
      </c>
      <c r="AR39" s="389">
        <f t="shared" si="16"/>
        <v>1.3069729065919298E-3</v>
      </c>
      <c r="AT39" s="391">
        <f t="shared" si="26"/>
        <v>0</v>
      </c>
      <c r="AU39" s="392">
        <f t="shared" si="17"/>
        <v>0</v>
      </c>
      <c r="AV39" s="392">
        <f t="shared" si="18"/>
        <v>0</v>
      </c>
      <c r="AW39" s="392">
        <f t="shared" si="19"/>
        <v>0</v>
      </c>
      <c r="AX39" s="393">
        <f t="shared" si="20"/>
        <v>0</v>
      </c>
      <c r="AY39" s="368">
        <f t="shared" si="27"/>
        <v>-1</v>
      </c>
      <c r="AZ39" s="394">
        <f t="shared" si="21"/>
        <v>0</v>
      </c>
      <c r="BA39" s="395">
        <f t="shared" si="21"/>
        <v>0</v>
      </c>
      <c r="BB39" s="395">
        <f t="shared" si="21"/>
        <v>0</v>
      </c>
      <c r="BC39" s="395">
        <f t="shared" si="21"/>
        <v>0</v>
      </c>
      <c r="BD39" s="395">
        <f t="shared" si="21"/>
        <v>0</v>
      </c>
      <c r="BE39" s="396">
        <f t="shared" si="28"/>
        <v>241312.00152630871</v>
      </c>
      <c r="BG39" s="397">
        <f>'Op Cost_FY2024'!E33</f>
        <v>788081</v>
      </c>
      <c r="BH39" s="398">
        <f t="shared" si="22"/>
        <v>0.30620202939330948</v>
      </c>
      <c r="BI39" s="399">
        <f t="shared" si="23"/>
        <v>236424.3</v>
      </c>
      <c r="BJ39" s="400">
        <f t="shared" si="24"/>
        <v>4887.7015263087233</v>
      </c>
      <c r="BL39" s="548">
        <f t="shared" si="29"/>
        <v>0.17247403697956515</v>
      </c>
      <c r="BM39" s="548">
        <f t="shared" si="30"/>
        <v>0.21607913186250124</v>
      </c>
      <c r="BN39" s="549">
        <f t="shared" si="31"/>
        <v>0.52737836941085103</v>
      </c>
      <c r="BO39" s="155">
        <f t="shared" si="25"/>
        <v>0</v>
      </c>
      <c r="BP39" s="154">
        <f t="shared" si="32"/>
        <v>6.8775698223070745E-4</v>
      </c>
      <c r="BQ39" s="153">
        <f t="shared" si="33"/>
        <v>0</v>
      </c>
      <c r="BR39" s="152">
        <f t="shared" si="34"/>
        <v>0</v>
      </c>
      <c r="BS39" s="151">
        <f t="shared" si="35"/>
        <v>236424.3</v>
      </c>
      <c r="BT39" s="540">
        <f t="shared" si="36"/>
        <v>236424.3</v>
      </c>
      <c r="BU39" s="540">
        <f t="shared" si="37"/>
        <v>236424.3</v>
      </c>
      <c r="BV39" s="540">
        <f t="shared" si="41"/>
        <v>0</v>
      </c>
      <c r="BW39" s="541">
        <f t="shared" si="38"/>
        <v>0</v>
      </c>
      <c r="BX39" s="542">
        <f t="shared" si="39"/>
        <v>0</v>
      </c>
      <c r="BY39" s="543">
        <f t="shared" si="40"/>
        <v>236424.3</v>
      </c>
    </row>
    <row r="40" spans="1:77">
      <c r="A40" s="403" t="s">
        <v>57</v>
      </c>
      <c r="B40" s="382" t="s">
        <v>90</v>
      </c>
      <c r="C40" s="179">
        <f>'Sizing - Reim Exp_FY2024'!B34</f>
        <v>1604354</v>
      </c>
      <c r="D40" s="178">
        <f>Ridership_FY2024!$E34</f>
        <v>162733</v>
      </c>
      <c r="E40" s="178">
        <f>'Revenue Hours_FY2024'!$F34</f>
        <v>36937</v>
      </c>
      <c r="F40" s="178">
        <f>'Revenue Miles_FY2024'!$F34</f>
        <v>710177</v>
      </c>
      <c r="G40" s="404">
        <f t="shared" si="42"/>
        <v>5.679960093776199E-3</v>
      </c>
      <c r="H40" s="384">
        <f t="shared" si="43"/>
        <v>5.3622876311953905E-3</v>
      </c>
      <c r="J40" s="385">
        <f>Ridership_FY2024!B34/'Revenue Hours_FY2024'!C34</f>
        <v>8.7030537830446679</v>
      </c>
      <c r="K40" s="386">
        <f>Ridership_FY2024!C34/'Revenue Hours_FY2024'!D34</f>
        <v>8.9718507404266425</v>
      </c>
      <c r="L40" s="386">
        <f>Ridership_FY2024!D34/'Revenue Hours_FY2024'!E34</f>
        <v>4.4820247253569612</v>
      </c>
      <c r="M40" s="386">
        <f>Ridership_FY2024!E34/'Revenue Hours_FY2024'!F34</f>
        <v>4.4056907707718551</v>
      </c>
      <c r="N40" s="387">
        <f t="shared" si="2"/>
        <v>0.9234994985351318</v>
      </c>
      <c r="O40" s="388">
        <f t="shared" si="3"/>
        <v>4.9520699384100831E-3</v>
      </c>
      <c r="P40" s="389">
        <f t="shared" si="4"/>
        <v>4.7516651455921897E-3</v>
      </c>
      <c r="Q40" s="385">
        <f>Ridership_FY2024!B34/'Revenue Miles_FY2024'!C34</f>
        <v>0.47321678296920194</v>
      </c>
      <c r="R40" s="386">
        <f>Ridership_FY2024!C34/'Revenue Miles_FY2024'!D34</f>
        <v>0.47298136165339449</v>
      </c>
      <c r="S40" s="386">
        <f>Ridership_FY2024!D34/'Revenue Miles_FY2024'!E34</f>
        <v>0.24753017027607868</v>
      </c>
      <c r="T40" s="386">
        <f>Ridership_FY2024!E34/'Revenue Miles_FY2024'!F34</f>
        <v>0.22914428374898088</v>
      </c>
      <c r="U40" s="387">
        <f t="shared" si="5"/>
        <v>0.91652715051762312</v>
      </c>
      <c r="V40" s="388">
        <f t="shared" si="6"/>
        <v>4.9146822028754067E-3</v>
      </c>
      <c r="W40" s="389">
        <f t="shared" si="7"/>
        <v>4.7320104730532503E-3</v>
      </c>
      <c r="X40" s="385">
        <f>'Op Cost_FY2024'!B34/'Revenue Hours_FY2024'!C34</f>
        <v>67.114175022789425</v>
      </c>
      <c r="Y40" s="386">
        <f>'Op Cost_FY2024'!C34/'Revenue Hours_FY2024'!D34</f>
        <v>69.175941026811927</v>
      </c>
      <c r="Z40" s="386">
        <f>'Op Cost_FY2024'!D34/'Revenue Hours_FY2024'!E34</f>
        <v>68.510851019247468</v>
      </c>
      <c r="AA40" s="386">
        <f>'Op Cost_FY2024'!E34/'Revenue Hours_FY2024'!F34</f>
        <v>68.297046322116032</v>
      </c>
      <c r="AB40" s="387">
        <f t="shared" si="8"/>
        <v>0.93911063246421012</v>
      </c>
      <c r="AC40" s="388">
        <f t="shared" si="9"/>
        <v>5.7099637101593031E-3</v>
      </c>
      <c r="AD40" s="389">
        <f t="shared" si="10"/>
        <v>5.7417864506439592E-3</v>
      </c>
      <c r="AE40" s="385">
        <f>'Op Cost_FY2024'!B34/'Revenue Miles_FY2024'!C34</f>
        <v>3.649242528845507</v>
      </c>
      <c r="AF40" s="386">
        <f>'Op Cost_FY2024'!C34/'Revenue Miles_FY2024'!D34</f>
        <v>3.6468429677599077</v>
      </c>
      <c r="AG40" s="386">
        <f>'Op Cost_FY2024'!D34/'Revenue Miles_FY2024'!E34</f>
        <v>3.7836700281038187</v>
      </c>
      <c r="AH40" s="386">
        <f>'Op Cost_FY2024'!E34/'Revenue Miles_FY2024'!F34</f>
        <v>3.5521961426517614</v>
      </c>
      <c r="AI40" s="387">
        <f t="shared" si="11"/>
        <v>0.92788520953180242</v>
      </c>
      <c r="AJ40" s="388">
        <f t="shared" si="12"/>
        <v>5.7790420367850506E-3</v>
      </c>
      <c r="AK40" s="389">
        <f t="shared" si="13"/>
        <v>5.7855734670921449E-3</v>
      </c>
      <c r="AL40" s="385">
        <f>'Op Cost_FY2024'!B34/Ridership_FY2024!B34</f>
        <v>7.7115661577941292</v>
      </c>
      <c r="AM40" s="386">
        <f>'Op Cost_FY2024'!C34/Ridership_FY2024!C34</f>
        <v>7.7103312380252964</v>
      </c>
      <c r="AN40" s="386">
        <f>'Op Cost_FY2024'!D34/Ridership_FY2024!D34</f>
        <v>15.285692341599267</v>
      </c>
      <c r="AO40" s="386">
        <f>'Op Cost_FY2024'!E34/Ridership_FY2024!E34</f>
        <v>15.502006353966314</v>
      </c>
      <c r="AP40" s="390">
        <f t="shared" si="14"/>
        <v>1.0383695060729243</v>
      </c>
      <c r="AQ40" s="388">
        <f t="shared" si="15"/>
        <v>5.1641420513930218E-3</v>
      </c>
      <c r="AR40" s="389">
        <f t="shared" si="16"/>
        <v>5.4669081714628113E-3</v>
      </c>
      <c r="AT40" s="391">
        <f t="shared" si="26"/>
        <v>0</v>
      </c>
      <c r="AU40" s="392">
        <f t="shared" si="17"/>
        <v>0</v>
      </c>
      <c r="AV40" s="392">
        <f t="shared" si="18"/>
        <v>0</v>
      </c>
      <c r="AW40" s="392">
        <f t="shared" si="19"/>
        <v>0</v>
      </c>
      <c r="AX40" s="393">
        <f t="shared" si="20"/>
        <v>0</v>
      </c>
      <c r="AY40" s="368">
        <f t="shared" si="27"/>
        <v>-1</v>
      </c>
      <c r="AZ40" s="394">
        <f t="shared" si="21"/>
        <v>0</v>
      </c>
      <c r="BA40" s="395">
        <f t="shared" si="21"/>
        <v>0</v>
      </c>
      <c r="BB40" s="395">
        <f t="shared" si="21"/>
        <v>0</v>
      </c>
      <c r="BC40" s="395">
        <f t="shared" si="21"/>
        <v>0</v>
      </c>
      <c r="BD40" s="395">
        <f t="shared" si="21"/>
        <v>0</v>
      </c>
      <c r="BE40" s="396">
        <f t="shared" si="28"/>
        <v>678880.94810704654</v>
      </c>
      <c r="BG40" s="397">
        <f>'Op Cost_FY2024'!E34</f>
        <v>2522688</v>
      </c>
      <c r="BH40" s="398">
        <f t="shared" si="22"/>
        <v>0.26911015080225797</v>
      </c>
      <c r="BI40" s="399">
        <f t="shared" si="23"/>
        <v>678880.94810704654</v>
      </c>
      <c r="BJ40" s="400">
        <f t="shared" si="24"/>
        <v>0</v>
      </c>
      <c r="BL40" s="548">
        <f t="shared" si="29"/>
        <v>0.49205787788387789</v>
      </c>
      <c r="BM40" s="548">
        <f t="shared" si="30"/>
        <v>0.36969705160713739</v>
      </c>
      <c r="BN40" s="549">
        <f t="shared" si="31"/>
        <v>0.90944780791300528</v>
      </c>
      <c r="BO40" s="155">
        <f t="shared" si="25"/>
        <v>678880.94810704654</v>
      </c>
      <c r="BP40" s="154">
        <f t="shared" si="32"/>
        <v>3.5936048156776663E-3</v>
      </c>
      <c r="BQ40" s="153">
        <f t="shared" si="33"/>
        <v>3.5936048156776663E-3</v>
      </c>
      <c r="BR40" s="152">
        <f t="shared" si="34"/>
        <v>6.0003368359597877E-3</v>
      </c>
      <c r="BS40" s="151">
        <f t="shared" si="35"/>
        <v>754713.36770299275</v>
      </c>
      <c r="BT40" s="540">
        <f t="shared" si="36"/>
        <v>756806.4</v>
      </c>
      <c r="BU40" s="540">
        <f t="shared" si="37"/>
        <v>754713.36770299275</v>
      </c>
      <c r="BV40" s="540">
        <f t="shared" si="41"/>
        <v>0</v>
      </c>
      <c r="BW40" s="541">
        <f t="shared" si="38"/>
        <v>3.5936048156776663E-3</v>
      </c>
      <c r="BX40" s="542">
        <f t="shared" si="39"/>
        <v>8.1181686683711677E-3</v>
      </c>
      <c r="BY40" s="543">
        <f t="shared" si="40"/>
        <v>773452.21059740416</v>
      </c>
    </row>
    <row r="41" spans="1:77">
      <c r="A41" s="403" t="s">
        <v>57</v>
      </c>
      <c r="B41" s="382" t="s">
        <v>91</v>
      </c>
      <c r="C41" s="179">
        <f>'Sizing - Reim Exp_FY2024'!B35</f>
        <v>5885541</v>
      </c>
      <c r="D41" s="178">
        <f>Ridership_FY2024!$E35</f>
        <v>1360253</v>
      </c>
      <c r="E41" s="178">
        <f>'Revenue Hours_FY2024'!$F35</f>
        <v>74536</v>
      </c>
      <c r="F41" s="178">
        <f>'Revenue Miles_FY2024'!$F35</f>
        <v>753636</v>
      </c>
      <c r="G41" s="404">
        <f t="shared" si="42"/>
        <v>2.1122135618256828E-2</v>
      </c>
      <c r="H41" s="384">
        <f t="shared" si="43"/>
        <v>1.9940803227529322E-2</v>
      </c>
      <c r="J41" s="385">
        <f>Ridership_FY2024!B35/'Revenue Hours_FY2024'!C35</f>
        <v>27.350763625087215</v>
      </c>
      <c r="K41" s="386">
        <f>Ridership_FY2024!C35/'Revenue Hours_FY2024'!D35</f>
        <v>28.025032050011234</v>
      </c>
      <c r="L41" s="386">
        <f>Ridership_FY2024!D35/'Revenue Hours_FY2024'!E35</f>
        <v>6.5232631919715116</v>
      </c>
      <c r="M41" s="386">
        <f>Ridership_FY2024!E35/'Revenue Hours_FY2024'!F35</f>
        <v>18.24961092626382</v>
      </c>
      <c r="N41" s="387">
        <f t="shared" si="2"/>
        <v>1.2177722543573253</v>
      </c>
      <c r="O41" s="388">
        <f t="shared" si="3"/>
        <v>2.4283356900084211E-2</v>
      </c>
      <c r="P41" s="389">
        <f t="shared" si="4"/>
        <v>2.3300636306673773E-2</v>
      </c>
      <c r="Q41" s="385">
        <f>Ridership_FY2024!B35/'Revenue Miles_FY2024'!C35</f>
        <v>2.7826950582098497</v>
      </c>
      <c r="R41" s="386">
        <f>Ridership_FY2024!C35/'Revenue Miles_FY2024'!D35</f>
        <v>2.8699282943585609</v>
      </c>
      <c r="S41" s="386">
        <f>Ridership_FY2024!D35/'Revenue Miles_FY2024'!E35</f>
        <v>0.66929775146545356</v>
      </c>
      <c r="T41" s="386">
        <f>Ridership_FY2024!E35/'Revenue Miles_FY2024'!F35</f>
        <v>1.8049204125068334</v>
      </c>
      <c r="U41" s="387">
        <f t="shared" si="5"/>
        <v>1.2111775195672629</v>
      </c>
      <c r="V41" s="388">
        <f t="shared" si="6"/>
        <v>2.4151852591297835E-2</v>
      </c>
      <c r="W41" s="389">
        <f t="shared" si="7"/>
        <v>2.325416266768876E-2</v>
      </c>
      <c r="X41" s="385">
        <f>'Op Cost_FY2024'!B35/'Revenue Hours_FY2024'!C35</f>
        <v>60.134222291133682</v>
      </c>
      <c r="Y41" s="386">
        <f>'Op Cost_FY2024'!C35/'Revenue Hours_FY2024'!D35</f>
        <v>65.071448396177786</v>
      </c>
      <c r="Z41" s="386">
        <f>'Op Cost_FY2024'!D35/'Revenue Hours_FY2024'!E35</f>
        <v>76.682473292327614</v>
      </c>
      <c r="AA41" s="386">
        <f>'Op Cost_FY2024'!E35/'Revenue Hours_FY2024'!F35</f>
        <v>79.970349898035849</v>
      </c>
      <c r="AB41" s="387">
        <f t="shared" si="8"/>
        <v>1.0225563424064019</v>
      </c>
      <c r="AC41" s="388">
        <f t="shared" si="9"/>
        <v>1.9500933494385492E-2</v>
      </c>
      <c r="AD41" s="389">
        <f t="shared" si="10"/>
        <v>1.9609615996989883E-2</v>
      </c>
      <c r="AE41" s="385">
        <f>'Op Cost_FY2024'!B35/'Revenue Miles_FY2024'!C35</f>
        <v>6.1181181444361483</v>
      </c>
      <c r="AF41" s="386">
        <f>'Op Cost_FY2024'!C35/'Revenue Miles_FY2024'!D35</f>
        <v>6.6636994588917435</v>
      </c>
      <c r="AG41" s="386">
        <f>'Op Cost_FY2024'!D35/'Revenue Miles_FY2024'!E35</f>
        <v>7.8677504557122129</v>
      </c>
      <c r="AH41" s="386">
        <f>'Op Cost_FY2024'!E35/'Revenue Miles_FY2024'!F35</f>
        <v>7.9092161202490328</v>
      </c>
      <c r="AI41" s="387">
        <f t="shared" si="11"/>
        <v>1.0186025700982582</v>
      </c>
      <c r="AJ41" s="388">
        <f t="shared" si="12"/>
        <v>1.9576627639576599E-2</v>
      </c>
      <c r="AK41" s="389">
        <f t="shared" si="13"/>
        <v>1.9598752998461678E-2</v>
      </c>
      <c r="AL41" s="385">
        <f>'Op Cost_FY2024'!B35/Ridership_FY2024!B35</f>
        <v>2.1986304702650483</v>
      </c>
      <c r="AM41" s="386">
        <f>'Op Cost_FY2024'!C35/Ridership_FY2024!C35</f>
        <v>2.3219045130816078</v>
      </c>
      <c r="AN41" s="386">
        <f>'Op Cost_FY2024'!D35/Ridership_FY2024!D35</f>
        <v>11.755232164586637</v>
      </c>
      <c r="AO41" s="386">
        <f>'Op Cost_FY2024'!E35/Ridership_FY2024!E35</f>
        <v>4.3820304016973317</v>
      </c>
      <c r="AP41" s="390">
        <f t="shared" si="14"/>
        <v>1.2138335695226248</v>
      </c>
      <c r="AQ41" s="388">
        <f t="shared" si="15"/>
        <v>1.6427954975220878E-2</v>
      </c>
      <c r="AR41" s="389">
        <f t="shared" si="16"/>
        <v>1.7391102026372798E-2</v>
      </c>
      <c r="AT41" s="391">
        <f t="shared" si="26"/>
        <v>0</v>
      </c>
      <c r="AU41" s="392">
        <f t="shared" si="17"/>
        <v>0</v>
      </c>
      <c r="AV41" s="392">
        <f t="shared" si="18"/>
        <v>0</v>
      </c>
      <c r="AW41" s="392">
        <f t="shared" si="19"/>
        <v>0</v>
      </c>
      <c r="AX41" s="393">
        <f t="shared" si="20"/>
        <v>0</v>
      </c>
      <c r="AY41" s="368">
        <f t="shared" si="27"/>
        <v>-1</v>
      </c>
      <c r="AZ41" s="394">
        <f t="shared" si="21"/>
        <v>0</v>
      </c>
      <c r="BA41" s="395">
        <f t="shared" si="21"/>
        <v>0</v>
      </c>
      <c r="BB41" s="395">
        <f t="shared" si="21"/>
        <v>0</v>
      </c>
      <c r="BC41" s="395">
        <f t="shared" si="21"/>
        <v>0</v>
      </c>
      <c r="BD41" s="395">
        <f t="shared" si="21"/>
        <v>0</v>
      </c>
      <c r="BE41" s="396">
        <f t="shared" si="28"/>
        <v>2524562.7113261214</v>
      </c>
      <c r="BG41" s="397">
        <f>'Op Cost_FY2024'!E35</f>
        <v>5960670</v>
      </c>
      <c r="BH41" s="398">
        <f t="shared" si="22"/>
        <v>0.4235367351868366</v>
      </c>
      <c r="BI41" s="399">
        <f t="shared" si="23"/>
        <v>1788201</v>
      </c>
      <c r="BJ41" s="400">
        <f t="shared" si="24"/>
        <v>736361.71132612135</v>
      </c>
      <c r="BL41" s="548">
        <f t="shared" si="29"/>
        <v>2.0382421944267728</v>
      </c>
      <c r="BM41" s="548">
        <f t="shared" si="30"/>
        <v>2.9120244414226293</v>
      </c>
      <c r="BN41" s="549">
        <f t="shared" si="31"/>
        <v>3.2172907087562272</v>
      </c>
      <c r="BO41" s="155">
        <f t="shared" si="25"/>
        <v>0</v>
      </c>
      <c r="BP41" s="154">
        <f t="shared" si="32"/>
        <v>5.6755753701852256E-2</v>
      </c>
      <c r="BQ41" s="153">
        <f t="shared" si="33"/>
        <v>0</v>
      </c>
      <c r="BR41" s="152">
        <f t="shared" si="34"/>
        <v>0</v>
      </c>
      <c r="BS41" s="151">
        <f t="shared" si="35"/>
        <v>1788201</v>
      </c>
      <c r="BT41" s="540">
        <f t="shared" si="36"/>
        <v>1788201</v>
      </c>
      <c r="BU41" s="540">
        <f t="shared" si="37"/>
        <v>1788201</v>
      </c>
      <c r="BV41" s="540">
        <f t="shared" si="41"/>
        <v>0</v>
      </c>
      <c r="BW41" s="541">
        <f t="shared" si="38"/>
        <v>0</v>
      </c>
      <c r="BX41" s="542">
        <f t="shared" si="39"/>
        <v>0</v>
      </c>
      <c r="BY41" s="543">
        <f t="shared" si="40"/>
        <v>1788201</v>
      </c>
    </row>
    <row r="42" spans="1:77">
      <c r="A42" s="403" t="s">
        <v>57</v>
      </c>
      <c r="B42" s="382" t="s">
        <v>93</v>
      </c>
      <c r="C42" s="179">
        <f>'Sizing - Reim Exp_FY2024'!B36</f>
        <v>1423713</v>
      </c>
      <c r="D42" s="178">
        <f>Ridership_FY2024!$E36</f>
        <v>134223</v>
      </c>
      <c r="E42" s="178">
        <f>'Revenue Hours_FY2024'!$F36</f>
        <v>17310</v>
      </c>
      <c r="F42" s="178">
        <f>'Revenue Miles_FY2024'!$F36</f>
        <v>185237</v>
      </c>
      <c r="G42" s="383">
        <f t="shared" si="42"/>
        <v>3.3321420204520977E-3</v>
      </c>
      <c r="H42" s="384">
        <f t="shared" si="43"/>
        <v>3.1457798376498119E-3</v>
      </c>
      <c r="J42" s="385">
        <f>Ridership_FY2024!B36/'Revenue Hours_FY2024'!C36</f>
        <v>7.7310729471533488</v>
      </c>
      <c r="K42" s="386">
        <f>Ridership_FY2024!C36/'Revenue Hours_FY2024'!D36</f>
        <v>7.608599966141866</v>
      </c>
      <c r="L42" s="386">
        <f>Ridership_FY2024!D36/'Revenue Hours_FY2024'!E36</f>
        <v>5.1692512721104915</v>
      </c>
      <c r="M42" s="386">
        <f>Ridership_FY2024!E36/'Revenue Hours_FY2024'!F36</f>
        <v>7.7540727902946278</v>
      </c>
      <c r="N42" s="387">
        <f t="shared" si="2"/>
        <v>1.1583121090765018</v>
      </c>
      <c r="O42" s="388">
        <f t="shared" si="3"/>
        <v>3.6437948784384892E-3</v>
      </c>
      <c r="P42" s="389">
        <f t="shared" si="4"/>
        <v>3.4963345301868617E-3</v>
      </c>
      <c r="Q42" s="385">
        <f>Ridership_FY2024!B36/'Revenue Miles_FY2024'!C36</f>
        <v>0.72165979381443301</v>
      </c>
      <c r="R42" s="386">
        <f>Ridership_FY2024!C36/'Revenue Miles_FY2024'!D36</f>
        <v>0.70818473562300743</v>
      </c>
      <c r="S42" s="386">
        <f>Ridership_FY2024!D36/'Revenue Miles_FY2024'!E36</f>
        <v>0.48672727894958989</v>
      </c>
      <c r="T42" s="386">
        <f>Ridership_FY2024!E36/'Revenue Miles_FY2024'!F36</f>
        <v>0.72460145651246777</v>
      </c>
      <c r="U42" s="387">
        <f t="shared" si="5"/>
        <v>1.164432865063014</v>
      </c>
      <c r="V42" s="388">
        <f t="shared" si="6"/>
        <v>3.6630494292120338E-3</v>
      </c>
      <c r="W42" s="389">
        <f t="shared" si="7"/>
        <v>3.5268991049313024E-3</v>
      </c>
      <c r="X42" s="385">
        <f>'Op Cost_FY2024'!B36/'Revenue Hours_FY2024'!C36</f>
        <v>56.649621735048868</v>
      </c>
      <c r="Y42" s="386">
        <f>'Op Cost_FY2024'!C36/'Revenue Hours_FY2024'!D36</f>
        <v>63.818012527509737</v>
      </c>
      <c r="Z42" s="386">
        <f>'Op Cost_FY2024'!D36/'Revenue Hours_FY2024'!E36</f>
        <v>76.918100314998782</v>
      </c>
      <c r="AA42" s="386">
        <f>'Op Cost_FY2024'!E36/'Revenue Hours_FY2024'!F36</f>
        <v>82.248006932409012</v>
      </c>
      <c r="AB42" s="387">
        <f t="shared" si="8"/>
        <v>1.0532047630257686</v>
      </c>
      <c r="AC42" s="388">
        <f t="shared" si="9"/>
        <v>2.9868644237918667E-3</v>
      </c>
      <c r="AD42" s="389">
        <f t="shared" si="10"/>
        <v>3.0035108012902148E-3</v>
      </c>
      <c r="AE42" s="385">
        <f>'Op Cost_FY2024'!B36/'Revenue Miles_FY2024'!C36</f>
        <v>5.2879793814432992</v>
      </c>
      <c r="AF42" s="386">
        <f>'Op Cost_FY2024'!C36/'Revenue Miles_FY2024'!D36</f>
        <v>5.9399814066841392</v>
      </c>
      <c r="AG42" s="386">
        <f>'Op Cost_FY2024'!D36/'Revenue Miles_FY2024'!E36</f>
        <v>7.2424681443287211</v>
      </c>
      <c r="AH42" s="386">
        <f>'Op Cost_FY2024'!E36/'Revenue Miles_FY2024'!F36</f>
        <v>7.6858996852680619</v>
      </c>
      <c r="AI42" s="387">
        <f t="shared" si="11"/>
        <v>1.0592800607325368</v>
      </c>
      <c r="AJ42" s="388">
        <f t="shared" si="12"/>
        <v>2.969733835520677E-3</v>
      </c>
      <c r="AK42" s="389">
        <f t="shared" si="13"/>
        <v>2.9730902066032647E-3</v>
      </c>
      <c r="AL42" s="385">
        <f>'Op Cost_FY2024'!B36/Ridership_FY2024!B36</f>
        <v>7.3275238925158215</v>
      </c>
      <c r="AM42" s="386">
        <f>'Op Cost_FY2024'!C36/Ridership_FY2024!C36</f>
        <v>8.3876156995372018</v>
      </c>
      <c r="AN42" s="386">
        <f>'Op Cost_FY2024'!D36/Ridership_FY2024!D36</f>
        <v>14.879930625541988</v>
      </c>
      <c r="AO42" s="386">
        <f>'Op Cost_FY2024'!E36/Ridership_FY2024!E36</f>
        <v>10.607071813325586</v>
      </c>
      <c r="AP42" s="390">
        <f t="shared" si="14"/>
        <v>0.9271831994846752</v>
      </c>
      <c r="AQ42" s="388">
        <f t="shared" si="15"/>
        <v>3.3928352448558429E-3</v>
      </c>
      <c r="AR42" s="389">
        <f t="shared" si="16"/>
        <v>3.5917522291095856E-3</v>
      </c>
      <c r="AT42" s="391">
        <f t="shared" si="26"/>
        <v>0</v>
      </c>
      <c r="AU42" s="392">
        <f t="shared" si="17"/>
        <v>0</v>
      </c>
      <c r="AV42" s="392">
        <f t="shared" si="18"/>
        <v>0</v>
      </c>
      <c r="AW42" s="392">
        <f t="shared" si="19"/>
        <v>0</v>
      </c>
      <c r="AX42" s="393">
        <f t="shared" si="20"/>
        <v>0</v>
      </c>
      <c r="AY42" s="368">
        <f t="shared" si="27"/>
        <v>-1</v>
      </c>
      <c r="AZ42" s="394">
        <f t="shared" si="21"/>
        <v>0</v>
      </c>
      <c r="BA42" s="395">
        <f t="shared" si="21"/>
        <v>0</v>
      </c>
      <c r="BB42" s="395">
        <f t="shared" si="21"/>
        <v>0</v>
      </c>
      <c r="BC42" s="395">
        <f t="shared" si="21"/>
        <v>0</v>
      </c>
      <c r="BD42" s="395">
        <f t="shared" si="21"/>
        <v>0</v>
      </c>
      <c r="BE42" s="396">
        <f t="shared" si="28"/>
        <v>398264.7231184899</v>
      </c>
      <c r="BG42" s="397">
        <f>'Op Cost_FY2024'!E36</f>
        <v>1423713</v>
      </c>
      <c r="BH42" s="398">
        <f t="shared" si="22"/>
        <v>0.27973666259877511</v>
      </c>
      <c r="BI42" s="399">
        <f t="shared" si="23"/>
        <v>398264.7231184899</v>
      </c>
      <c r="BJ42" s="400">
        <f t="shared" si="24"/>
        <v>0</v>
      </c>
      <c r="BL42" s="548">
        <f t="shared" si="29"/>
        <v>0.8660282349959495</v>
      </c>
      <c r="BM42" s="548">
        <f t="shared" si="30"/>
        <v>1.1690582792645734</v>
      </c>
      <c r="BN42" s="549">
        <f t="shared" si="31"/>
        <v>1.3291383281818265</v>
      </c>
      <c r="BO42" s="155">
        <f t="shared" si="25"/>
        <v>398264.7231184899</v>
      </c>
      <c r="BP42" s="154">
        <f t="shared" si="32"/>
        <v>3.6910718082294315E-3</v>
      </c>
      <c r="BQ42" s="153">
        <f t="shared" si="33"/>
        <v>3.6910718082294315E-3</v>
      </c>
      <c r="BR42" s="152">
        <f t="shared" si="34"/>
        <v>6.1630800466620722E-3</v>
      </c>
      <c r="BS42" s="151">
        <f t="shared" si="35"/>
        <v>476153.89582309604</v>
      </c>
      <c r="BT42" s="540">
        <f t="shared" si="36"/>
        <v>427113.89999999997</v>
      </c>
      <c r="BU42" s="540">
        <f t="shared" si="37"/>
        <v>427113.89999999997</v>
      </c>
      <c r="BV42" s="540">
        <f t="shared" si="41"/>
        <v>49039.995823096076</v>
      </c>
      <c r="BW42" s="541">
        <f t="shared" si="38"/>
        <v>0</v>
      </c>
      <c r="BX42" s="542">
        <f t="shared" si="39"/>
        <v>0</v>
      </c>
      <c r="BY42" s="543">
        <f t="shared" si="40"/>
        <v>427113.89999999997</v>
      </c>
    </row>
    <row r="43" spans="1:77">
      <c r="A43" s="403" t="s">
        <v>58</v>
      </c>
      <c r="B43" s="382" t="s">
        <v>94</v>
      </c>
      <c r="C43" s="179">
        <f>'Sizing - Reim Exp_FY2024'!B37</f>
        <v>4486729</v>
      </c>
      <c r="D43" s="178">
        <f>Ridership_FY2024!$E37</f>
        <v>127135</v>
      </c>
      <c r="E43" s="178">
        <f>'Revenue Hours_FY2024'!$F37</f>
        <v>60586</v>
      </c>
      <c r="F43" s="178">
        <f>'Revenue Miles_FY2024'!$F37</f>
        <v>1402170</v>
      </c>
      <c r="G43" s="404">
        <f t="shared" si="42"/>
        <v>1.002831542190293E-2</v>
      </c>
      <c r="H43" s="384">
        <f t="shared" si="43"/>
        <v>9.4674453448219745E-3</v>
      </c>
      <c r="J43" s="385">
        <f>Ridership_FY2024!B37/'Revenue Hours_FY2024'!C37</f>
        <v>2.2830581849901463</v>
      </c>
      <c r="K43" s="386">
        <f>Ridership_FY2024!C37/'Revenue Hours_FY2024'!D37</f>
        <v>2.3373679249962795</v>
      </c>
      <c r="L43" s="386">
        <f>Ridership_FY2024!D37/'Revenue Hours_FY2024'!E37</f>
        <v>1.944317205840252</v>
      </c>
      <c r="M43" s="386">
        <f>Ridership_FY2024!E37/'Revenue Hours_FY2024'!F37</f>
        <v>2.0984220777077214</v>
      </c>
      <c r="N43" s="387">
        <f t="shared" si="2"/>
        <v>1.1616293810859883</v>
      </c>
      <c r="O43" s="388">
        <f t="shared" si="3"/>
        <v>1.0997662676370971E-2</v>
      </c>
      <c r="P43" s="389">
        <f t="shared" si="4"/>
        <v>1.0552599432606119E-2</v>
      </c>
      <c r="Q43" s="385">
        <f>Ridership_FY2024!B37/'Revenue Miles_FY2024'!C37</f>
        <v>0.10105390351849336</v>
      </c>
      <c r="R43" s="386">
        <f>Ridership_FY2024!C37/'Revenue Miles_FY2024'!D37</f>
        <v>9.8864253896849164E-2</v>
      </c>
      <c r="S43" s="386">
        <f>Ridership_FY2024!D37/'Revenue Miles_FY2024'!E37</f>
        <v>8.4847547858705061E-2</v>
      </c>
      <c r="T43" s="386">
        <f>Ridership_FY2024!E37/'Revenue Miles_FY2024'!F37</f>
        <v>9.06701755136681E-2</v>
      </c>
      <c r="U43" s="387">
        <f t="shared" si="5"/>
        <v>1.1613529121666903</v>
      </c>
      <c r="V43" s="388">
        <f t="shared" si="6"/>
        <v>1.0995045221987975E-2</v>
      </c>
      <c r="W43" s="389">
        <f t="shared" si="7"/>
        <v>1.0586375068504137E-2</v>
      </c>
      <c r="X43" s="385">
        <f>'Op Cost_FY2024'!B37/'Revenue Hours_FY2024'!C37</f>
        <v>58.289454980131168</v>
      </c>
      <c r="Y43" s="386">
        <f>'Op Cost_FY2024'!C37/'Revenue Hours_FY2024'!D37</f>
        <v>59.71751244274683</v>
      </c>
      <c r="Z43" s="386">
        <f>'Op Cost_FY2024'!D37/'Revenue Hours_FY2024'!E37</f>
        <v>69.859111079301456</v>
      </c>
      <c r="AA43" s="386">
        <f>'Op Cost_FY2024'!E37/'Revenue Hours_FY2024'!F37</f>
        <v>76.546396857359781</v>
      </c>
      <c r="AB43" s="387">
        <f t="shared" si="8"/>
        <v>1.0189423271546556</v>
      </c>
      <c r="AC43" s="388">
        <f t="shared" si="9"/>
        <v>9.2914437770578555E-3</v>
      </c>
      <c r="AD43" s="389">
        <f t="shared" si="10"/>
        <v>9.343226803895488E-3</v>
      </c>
      <c r="AE43" s="385">
        <f>'Op Cost_FY2024'!B37/'Revenue Miles_FY2024'!C37</f>
        <v>2.5800380377660677</v>
      </c>
      <c r="AF43" s="386">
        <f>'Op Cost_FY2024'!C37/'Revenue Miles_FY2024'!D37</f>
        <v>2.5258870240710474</v>
      </c>
      <c r="AG43" s="386">
        <f>'Op Cost_FY2024'!D37/'Revenue Miles_FY2024'!E37</f>
        <v>3.0485633994613872</v>
      </c>
      <c r="AH43" s="386">
        <f>'Op Cost_FY2024'!E37/'Revenue Miles_FY2024'!F37</f>
        <v>3.3074734162048824</v>
      </c>
      <c r="AI43" s="387">
        <f t="shared" si="11"/>
        <v>1.0165484061575014</v>
      </c>
      <c r="AJ43" s="388">
        <f t="shared" si="12"/>
        <v>9.3133246655792926E-3</v>
      </c>
      <c r="AK43" s="389">
        <f t="shared" si="13"/>
        <v>9.3238505158142245E-3</v>
      </c>
      <c r="AL43" s="385">
        <f>'Op Cost_FY2024'!B37/Ridership_FY2024!B37</f>
        <v>25.531305055364914</v>
      </c>
      <c r="AM43" s="386">
        <f>'Op Cost_FY2024'!C37/Ridership_FY2024!C37</f>
        <v>25.549042495242542</v>
      </c>
      <c r="AN43" s="386">
        <f>'Op Cost_FY2024'!D37/Ridership_FY2024!D37</f>
        <v>35.929893985128473</v>
      </c>
      <c r="AO43" s="386">
        <f>'Op Cost_FY2024'!E37/Ridership_FY2024!E37</f>
        <v>36.47807448774924</v>
      </c>
      <c r="AP43" s="390">
        <f t="shared" si="14"/>
        <v>0.9583100618876742</v>
      </c>
      <c r="AQ43" s="388">
        <f t="shared" si="15"/>
        <v>9.8793133051040399E-3</v>
      </c>
      <c r="AR43" s="389">
        <f t="shared" si="16"/>
        <v>1.0458523041895332E-2</v>
      </c>
      <c r="AT43" s="391">
        <f t="shared" si="26"/>
        <v>0</v>
      </c>
      <c r="AU43" s="392">
        <f t="shared" si="17"/>
        <v>0</v>
      </c>
      <c r="AV43" s="392">
        <f t="shared" si="18"/>
        <v>0</v>
      </c>
      <c r="AW43" s="392">
        <f t="shared" si="19"/>
        <v>0</v>
      </c>
      <c r="AX43" s="393">
        <f t="shared" si="20"/>
        <v>0</v>
      </c>
      <c r="AY43" s="368">
        <f t="shared" si="27"/>
        <v>-1</v>
      </c>
      <c r="AZ43" s="394">
        <f t="shared" si="21"/>
        <v>0</v>
      </c>
      <c r="BA43" s="395">
        <f t="shared" si="21"/>
        <v>0</v>
      </c>
      <c r="BB43" s="395">
        <f t="shared" si="21"/>
        <v>0</v>
      </c>
      <c r="BC43" s="395">
        <f t="shared" si="21"/>
        <v>0</v>
      </c>
      <c r="BD43" s="395">
        <f t="shared" si="21"/>
        <v>0</v>
      </c>
      <c r="BE43" s="396">
        <f t="shared" si="28"/>
        <v>1198605.6537611699</v>
      </c>
      <c r="BG43" s="397">
        <f>'Op Cost_FY2024'!E37</f>
        <v>4637640</v>
      </c>
      <c r="BH43" s="398">
        <f t="shared" si="22"/>
        <v>0.25845163785053815</v>
      </c>
      <c r="BI43" s="399">
        <f t="shared" si="23"/>
        <v>1198605.6537611699</v>
      </c>
      <c r="BJ43" s="400">
        <f t="shared" si="24"/>
        <v>0</v>
      </c>
      <c r="BL43" s="548">
        <f t="shared" si="29"/>
        <v>0.23436622499963666</v>
      </c>
      <c r="BM43" s="548">
        <f t="shared" si="30"/>
        <v>0.14628554554223674</v>
      </c>
      <c r="BN43" s="549">
        <f t="shared" si="31"/>
        <v>0.38648601645908948</v>
      </c>
      <c r="BO43" s="155">
        <f t="shared" si="25"/>
        <v>1198605.6537611699</v>
      </c>
      <c r="BP43" s="154">
        <f t="shared" si="32"/>
        <v>2.7304675769359234E-3</v>
      </c>
      <c r="BQ43" s="153">
        <f t="shared" si="33"/>
        <v>2.7304675769359234E-3</v>
      </c>
      <c r="BR43" s="152">
        <f t="shared" si="34"/>
        <v>4.5591338006354806E-3</v>
      </c>
      <c r="BS43" s="151">
        <f t="shared" si="35"/>
        <v>1256224.1103271251</v>
      </c>
      <c r="BT43" s="540">
        <f t="shared" si="36"/>
        <v>1391292</v>
      </c>
      <c r="BU43" s="540">
        <f t="shared" si="37"/>
        <v>1256224.1103271251</v>
      </c>
      <c r="BV43" s="540">
        <f t="shared" si="41"/>
        <v>0</v>
      </c>
      <c r="BW43" s="541">
        <f t="shared" si="38"/>
        <v>2.7304675769359234E-3</v>
      </c>
      <c r="BX43" s="542">
        <f t="shared" si="39"/>
        <v>6.168289912229682E-3</v>
      </c>
      <c r="BY43" s="543">
        <f t="shared" si="40"/>
        <v>1270462.1263519444</v>
      </c>
    </row>
    <row r="44" spans="1:77">
      <c r="A44" s="403" t="s">
        <v>58</v>
      </c>
      <c r="B44" s="382" t="s">
        <v>95</v>
      </c>
      <c r="C44" s="179">
        <f>'Sizing - Reim Exp_FY2024'!B38</f>
        <v>573381</v>
      </c>
      <c r="D44" s="178">
        <f>Ridership_FY2024!$E38</f>
        <v>24049</v>
      </c>
      <c r="E44" s="178">
        <f>'Revenue Hours_FY2024'!$F38</f>
        <v>15570</v>
      </c>
      <c r="F44" s="178">
        <f>'Revenue Miles_FY2024'!$F38</f>
        <v>414537</v>
      </c>
      <c r="G44" s="404">
        <f t="shared" si="42"/>
        <v>2.1946758165289353E-3</v>
      </c>
      <c r="H44" s="384">
        <f t="shared" si="43"/>
        <v>2.0719305754193658E-3</v>
      </c>
      <c r="J44" s="385">
        <f>Ridership_FY2024!B38/'Revenue Hours_FY2024'!C38</f>
        <v>2.4957182320441991</v>
      </c>
      <c r="K44" s="386">
        <f>Ridership_FY2024!C38/'Revenue Hours_FY2024'!D38</f>
        <v>2.6155528221948887</v>
      </c>
      <c r="L44" s="386">
        <f>Ridership_FY2024!D38/'Revenue Hours_FY2024'!E38</f>
        <v>1.3983089137029627</v>
      </c>
      <c r="M44" s="386">
        <f>Ridership_FY2024!E38/'Revenue Hours_FY2024'!F38</f>
        <v>1.5445728965960179</v>
      </c>
      <c r="N44" s="387">
        <f t="shared" si="2"/>
        <v>0.98344145725361898</v>
      </c>
      <c r="O44" s="388">
        <f t="shared" si="3"/>
        <v>2.0376224244187504E-3</v>
      </c>
      <c r="P44" s="389">
        <f t="shared" si="4"/>
        <v>1.9551620987598929E-3</v>
      </c>
      <c r="Q44" s="385">
        <f>Ridership_FY2024!B38/'Revenue Miles_FY2024'!C38</f>
        <v>9.3473318279519824E-2</v>
      </c>
      <c r="R44" s="386">
        <f>Ridership_FY2024!C38/'Revenue Miles_FY2024'!D38</f>
        <v>9.9669556205390739E-2</v>
      </c>
      <c r="S44" s="386">
        <f>Ridership_FY2024!D38/'Revenue Miles_FY2024'!E38</f>
        <v>5.2832581392513109E-2</v>
      </c>
      <c r="T44" s="386">
        <f>Ridership_FY2024!E38/'Revenue Miles_FY2024'!F38</f>
        <v>5.8014121779238044E-2</v>
      </c>
      <c r="U44" s="387">
        <f t="shared" si="5"/>
        <v>0.98900730829066263</v>
      </c>
      <c r="V44" s="388">
        <f t="shared" si="6"/>
        <v>2.0491544813606307E-3</v>
      </c>
      <c r="W44" s="389">
        <f t="shared" si="7"/>
        <v>1.9729903311000163E-3</v>
      </c>
      <c r="X44" s="385">
        <f>'Op Cost_FY2024'!B38/'Revenue Hours_FY2024'!C38</f>
        <v>25.043991712707182</v>
      </c>
      <c r="Y44" s="386">
        <f>'Op Cost_FY2024'!C38/'Revenue Hours_FY2024'!D38</f>
        <v>27.952507858411916</v>
      </c>
      <c r="Z44" s="386">
        <f>'Op Cost_FY2024'!D38/'Revenue Hours_FY2024'!E38</f>
        <v>37.360937197444009</v>
      </c>
      <c r="AA44" s="386">
        <f>'Op Cost_FY2024'!E38/'Revenue Hours_FY2024'!F38</f>
        <v>36.826011560693644</v>
      </c>
      <c r="AB44" s="387">
        <f t="shared" si="8"/>
        <v>1.0578409227089491</v>
      </c>
      <c r="AC44" s="388">
        <f t="shared" si="9"/>
        <v>1.9586409742152035E-3</v>
      </c>
      <c r="AD44" s="389">
        <f t="shared" si="10"/>
        <v>1.9695568620542395E-3</v>
      </c>
      <c r="AE44" s="385">
        <f>'Op Cost_FY2024'!B38/'Revenue Miles_FY2024'!C38</f>
        <v>0.93798449612403101</v>
      </c>
      <c r="AF44" s="386">
        <f>'Op Cost_FY2024'!C38/'Revenue Miles_FY2024'!D38</f>
        <v>1.0651721614773884</v>
      </c>
      <c r="AG44" s="386">
        <f>'Op Cost_FY2024'!D38/'Revenue Miles_FY2024'!E38</f>
        <v>1.4116156566272406</v>
      </c>
      <c r="AH44" s="386">
        <f>'Op Cost_FY2024'!E38/'Revenue Miles_FY2024'!F38</f>
        <v>1.3831841307289821</v>
      </c>
      <c r="AI44" s="387">
        <f t="shared" si="11"/>
        <v>1.0641048167932705</v>
      </c>
      <c r="AJ44" s="388">
        <f t="shared" si="12"/>
        <v>1.9471113585062282E-3</v>
      </c>
      <c r="AK44" s="389">
        <f t="shared" si="13"/>
        <v>1.9493119692748099E-3</v>
      </c>
      <c r="AL44" s="385">
        <f>'Op Cost_FY2024'!B38/Ridership_FY2024!B38</f>
        <v>10.034783330566164</v>
      </c>
      <c r="AM44" s="386">
        <f>'Op Cost_FY2024'!C38/Ridership_FY2024!C38</f>
        <v>10.687036262932386</v>
      </c>
      <c r="AN44" s="386">
        <f>'Op Cost_FY2024'!D38/Ridership_FY2024!D38</f>
        <v>26.718657680945348</v>
      </c>
      <c r="AO44" s="386">
        <f>'Op Cost_FY2024'!E38/Ridership_FY2024!E38</f>
        <v>23.842197180755957</v>
      </c>
      <c r="AP44" s="390">
        <f t="shared" si="14"/>
        <v>1.0799884459077091</v>
      </c>
      <c r="AQ44" s="388">
        <f t="shared" si="15"/>
        <v>1.9184747607905645E-3</v>
      </c>
      <c r="AR44" s="389">
        <f t="shared" si="16"/>
        <v>2.030952139219706E-3</v>
      </c>
      <c r="AT44" s="391">
        <f t="shared" si="26"/>
        <v>0</v>
      </c>
      <c r="AU44" s="392">
        <f t="shared" si="17"/>
        <v>0</v>
      </c>
      <c r="AV44" s="392">
        <f t="shared" si="18"/>
        <v>0</v>
      </c>
      <c r="AW44" s="392">
        <f t="shared" si="19"/>
        <v>0</v>
      </c>
      <c r="AX44" s="393">
        <f t="shared" si="20"/>
        <v>0</v>
      </c>
      <c r="AY44" s="368">
        <f t="shared" si="27"/>
        <v>-1</v>
      </c>
      <c r="AZ44" s="394">
        <f t="shared" si="21"/>
        <v>0</v>
      </c>
      <c r="BA44" s="395">
        <f t="shared" si="21"/>
        <v>0</v>
      </c>
      <c r="BB44" s="395">
        <f t="shared" si="21"/>
        <v>0</v>
      </c>
      <c r="BC44" s="395">
        <f t="shared" si="21"/>
        <v>0</v>
      </c>
      <c r="BD44" s="395">
        <f t="shared" si="21"/>
        <v>0</v>
      </c>
      <c r="BE44" s="396">
        <f t="shared" si="28"/>
        <v>262312.33574076515</v>
      </c>
      <c r="BG44" s="397">
        <f>'Op Cost_FY2024'!E38</f>
        <v>573381</v>
      </c>
      <c r="BH44" s="398">
        <f t="shared" si="22"/>
        <v>0.45748348086310003</v>
      </c>
      <c r="BI44" s="399">
        <f t="shared" si="23"/>
        <v>172014.3</v>
      </c>
      <c r="BJ44" s="400">
        <f t="shared" si="24"/>
        <v>90298.035740765161</v>
      </c>
      <c r="BL44" s="548">
        <f t="shared" si="29"/>
        <v>0.17250853527399049</v>
      </c>
      <c r="BM44" s="548">
        <f t="shared" si="30"/>
        <v>9.3598886354314778E-2</v>
      </c>
      <c r="BN44" s="549">
        <f t="shared" si="31"/>
        <v>0.59131570760799879</v>
      </c>
      <c r="BO44" s="155">
        <f t="shared" si="25"/>
        <v>0</v>
      </c>
      <c r="BP44" s="154">
        <f t="shared" si="32"/>
        <v>7.5042157296379981E-4</v>
      </c>
      <c r="BQ44" s="153">
        <f t="shared" si="33"/>
        <v>0</v>
      </c>
      <c r="BR44" s="152">
        <f t="shared" si="34"/>
        <v>0</v>
      </c>
      <c r="BS44" s="151">
        <f t="shared" si="35"/>
        <v>172014.3</v>
      </c>
      <c r="BT44" s="540">
        <f t="shared" si="36"/>
        <v>172014.3</v>
      </c>
      <c r="BU44" s="540">
        <f t="shared" si="37"/>
        <v>172014.3</v>
      </c>
      <c r="BV44" s="540">
        <f t="shared" si="41"/>
        <v>0</v>
      </c>
      <c r="BW44" s="541">
        <f t="shared" si="38"/>
        <v>0</v>
      </c>
      <c r="BX44" s="542">
        <f t="shared" si="39"/>
        <v>0</v>
      </c>
      <c r="BY44" s="543">
        <f t="shared" si="40"/>
        <v>172014.3</v>
      </c>
    </row>
    <row r="45" spans="1:77">
      <c r="A45" s="403" t="s">
        <v>58</v>
      </c>
      <c r="B45" s="382" t="s">
        <v>96</v>
      </c>
      <c r="C45" s="179">
        <f>'Sizing - Reim Exp_FY2024'!B39</f>
        <v>7560831</v>
      </c>
      <c r="D45" s="178">
        <f>Ridership_FY2024!$E39</f>
        <v>172720</v>
      </c>
      <c r="E45" s="178">
        <f>'Revenue Hours_FY2024'!$F39</f>
        <v>75094</v>
      </c>
      <c r="F45" s="178">
        <f>'Revenue Miles_FY2024'!$F39</f>
        <v>1190608</v>
      </c>
      <c r="G45" s="404">
        <f t="shared" si="42"/>
        <v>1.2740495824974669E-2</v>
      </c>
      <c r="H45" s="384">
        <f t="shared" si="43"/>
        <v>1.2027937177308283E-2</v>
      </c>
      <c r="J45" s="385">
        <f>Ridership_FY2024!B39/'Revenue Hours_FY2024'!C39</f>
        <v>2.8528395937570008</v>
      </c>
      <c r="K45" s="386">
        <f>Ridership_FY2024!C39/'Revenue Hours_FY2024'!D39</f>
        <v>2.8967768637798126</v>
      </c>
      <c r="L45" s="386">
        <f>Ridership_FY2024!D39/'Revenue Hours_FY2024'!E39</f>
        <v>2.1946189886707304</v>
      </c>
      <c r="M45" s="386">
        <f>Ridership_FY2024!E39/'Revenue Hours_FY2024'!F39</f>
        <v>2.3000506032439341</v>
      </c>
      <c r="N45" s="387">
        <f t="shared" si="2"/>
        <v>1.102579996360374</v>
      </c>
      <c r="O45" s="388">
        <f t="shared" si="3"/>
        <v>1.3261762929179374E-2</v>
      </c>
      <c r="P45" s="389">
        <f t="shared" si="4"/>
        <v>1.2725074052552663E-2</v>
      </c>
      <c r="Q45" s="385">
        <f>Ridership_FY2024!B39/'Revenue Miles_FY2024'!C39</f>
        <v>0.17268278460800451</v>
      </c>
      <c r="R45" s="386">
        <f>Ridership_FY2024!C39/'Revenue Miles_FY2024'!D39</f>
        <v>0.17887553870187622</v>
      </c>
      <c r="S45" s="386">
        <f>Ridership_FY2024!D39/'Revenue Miles_FY2024'!E39</f>
        <v>0.13508021153120933</v>
      </c>
      <c r="T45" s="386">
        <f>Ridership_FY2024!E39/'Revenue Miles_FY2024'!F39</f>
        <v>0.14506873798932982</v>
      </c>
      <c r="U45" s="387">
        <f t="shared" si="5"/>
        <v>1.1162552956184724</v>
      </c>
      <c r="V45" s="388">
        <f t="shared" si="6"/>
        <v>1.3426248569536671E-2</v>
      </c>
      <c r="W45" s="389">
        <f t="shared" si="7"/>
        <v>1.2927214054184979E-2</v>
      </c>
      <c r="X45" s="385">
        <f>'Op Cost_FY2024'!B39/'Revenue Hours_FY2024'!C39</f>
        <v>67.871126129489951</v>
      </c>
      <c r="Y45" s="386">
        <f>'Op Cost_FY2024'!C39/'Revenue Hours_FY2024'!D39</f>
        <v>82.421987686895335</v>
      </c>
      <c r="Z45" s="386">
        <f>'Op Cost_FY2024'!D39/'Revenue Hours_FY2024'!E39</f>
        <v>132.58479715436326</v>
      </c>
      <c r="AA45" s="386">
        <f>'Op Cost_FY2024'!E39/'Revenue Hours_FY2024'!F39</f>
        <v>102.20353157376088</v>
      </c>
      <c r="AB45" s="387">
        <f t="shared" si="8"/>
        <v>1.0927878671265903</v>
      </c>
      <c r="AC45" s="388">
        <f t="shared" si="9"/>
        <v>1.1006653293959886E-2</v>
      </c>
      <c r="AD45" s="389">
        <f t="shared" si="10"/>
        <v>1.1067995517686295E-2</v>
      </c>
      <c r="AE45" s="385">
        <f>'Op Cost_FY2024'!B39/'Revenue Miles_FY2024'!C39</f>
        <v>4.1082488760213556</v>
      </c>
      <c r="AF45" s="386">
        <f>'Op Cost_FY2024'!C39/'Revenue Miles_FY2024'!D39</f>
        <v>5.0895454298593386</v>
      </c>
      <c r="AG45" s="386">
        <f>'Op Cost_FY2024'!D39/'Revenue Miles_FY2024'!E39</f>
        <v>8.1606796158642627</v>
      </c>
      <c r="AH45" s="386">
        <f>'Op Cost_FY2024'!E39/'Revenue Miles_FY2024'!F39</f>
        <v>6.4461787590877941</v>
      </c>
      <c r="AI45" s="387">
        <f t="shared" si="11"/>
        <v>1.10818527996705</v>
      </c>
      <c r="AJ45" s="388">
        <f t="shared" si="12"/>
        <v>1.0853724006933132E-2</v>
      </c>
      <c r="AK45" s="389">
        <f t="shared" si="13"/>
        <v>1.0865990805041276E-2</v>
      </c>
      <c r="AL45" s="385">
        <f>'Op Cost_FY2024'!B39/Ridership_FY2024!B39</f>
        <v>23.790726361908128</v>
      </c>
      <c r="AM45" s="386">
        <f>'Op Cost_FY2024'!C39/Ridership_FY2024!C39</f>
        <v>28.452998474776663</v>
      </c>
      <c r="AN45" s="386">
        <f>'Op Cost_FY2024'!D39/Ridership_FY2024!D39</f>
        <v>60.413583332143318</v>
      </c>
      <c r="AO45" s="386">
        <f>'Op Cost_FY2024'!E39/Ridership_FY2024!E39</f>
        <v>44.435340435386756</v>
      </c>
      <c r="AP45" s="390">
        <f t="shared" si="14"/>
        <v>1.0025928662815951</v>
      </c>
      <c r="AQ45" s="388">
        <f t="shared" si="15"/>
        <v>1.1996830998725692E-2</v>
      </c>
      <c r="AR45" s="389">
        <f t="shared" si="16"/>
        <v>1.2700187710928712E-2</v>
      </c>
      <c r="AT45" s="391">
        <f t="shared" si="26"/>
        <v>0</v>
      </c>
      <c r="AU45" s="392">
        <f t="shared" si="17"/>
        <v>0</v>
      </c>
      <c r="AV45" s="392">
        <f t="shared" si="18"/>
        <v>0</v>
      </c>
      <c r="AW45" s="392">
        <f t="shared" si="19"/>
        <v>0</v>
      </c>
      <c r="AX45" s="393">
        <f t="shared" si="20"/>
        <v>0</v>
      </c>
      <c r="AY45" s="368">
        <f t="shared" si="27"/>
        <v>-1</v>
      </c>
      <c r="AZ45" s="394">
        <f t="shared" si="21"/>
        <v>0</v>
      </c>
      <c r="BA45" s="395">
        <f t="shared" si="21"/>
        <v>0</v>
      </c>
      <c r="BB45" s="395">
        <f t="shared" si="21"/>
        <v>0</v>
      </c>
      <c r="BC45" s="395">
        <f t="shared" si="21"/>
        <v>0</v>
      </c>
      <c r="BD45" s="395">
        <f t="shared" si="21"/>
        <v>0</v>
      </c>
      <c r="BE45" s="396">
        <f t="shared" si="28"/>
        <v>1522771.2417363808</v>
      </c>
      <c r="BG45" s="397">
        <f>'Op Cost_FY2024'!E39</f>
        <v>7674872</v>
      </c>
      <c r="BH45" s="398">
        <f t="shared" si="22"/>
        <v>0.19840998543511615</v>
      </c>
      <c r="BI45" s="399">
        <f t="shared" si="23"/>
        <v>1522771.2417363808</v>
      </c>
      <c r="BJ45" s="400">
        <f t="shared" si="24"/>
        <v>0</v>
      </c>
      <c r="BL45" s="548">
        <f t="shared" si="29"/>
        <v>0.25688548691751806</v>
      </c>
      <c r="BM45" s="548">
        <f t="shared" si="30"/>
        <v>0.23405115692859646</v>
      </c>
      <c r="BN45" s="549">
        <f t="shared" si="31"/>
        <v>0.31727596905369437</v>
      </c>
      <c r="BO45" s="155">
        <f t="shared" si="25"/>
        <v>1522771.2417363808</v>
      </c>
      <c r="BP45" s="154">
        <f t="shared" si="32"/>
        <v>3.3843264893786305E-3</v>
      </c>
      <c r="BQ45" s="153">
        <f t="shared" si="33"/>
        <v>3.3843264893786305E-3</v>
      </c>
      <c r="BR45" s="152">
        <f t="shared" si="34"/>
        <v>5.6508992893542862E-3</v>
      </c>
      <c r="BS45" s="151">
        <f t="shared" si="35"/>
        <v>1594187.4601454269</v>
      </c>
      <c r="BT45" s="540">
        <f t="shared" si="36"/>
        <v>2302461.6</v>
      </c>
      <c r="BU45" s="540">
        <f t="shared" si="37"/>
        <v>1594187.4601454269</v>
      </c>
      <c r="BV45" s="540">
        <f t="shared" si="41"/>
        <v>0</v>
      </c>
      <c r="BW45" s="541">
        <f t="shared" si="38"/>
        <v>3.3843264893786305E-3</v>
      </c>
      <c r="BX45" s="542">
        <f t="shared" si="39"/>
        <v>7.6453963857545529E-3</v>
      </c>
      <c r="BY45" s="543">
        <f t="shared" si="40"/>
        <v>1611835.0217557601</v>
      </c>
    </row>
    <row r="46" spans="1:77" ht="16.5" customHeight="1">
      <c r="A46" s="403" t="s">
        <v>58</v>
      </c>
      <c r="B46" s="382" t="s">
        <v>97</v>
      </c>
      <c r="C46" s="179">
        <f>'Sizing - Reim Exp_FY2024'!B40</f>
        <v>162010</v>
      </c>
      <c r="D46" s="178">
        <f>Ridership_FY2024!$E40</f>
        <v>11840</v>
      </c>
      <c r="E46" s="178">
        <f>'Revenue Hours_FY2024'!$F40</f>
        <v>5390</v>
      </c>
      <c r="F46" s="178">
        <f>'Revenue Miles_FY2024'!$F40</f>
        <v>55690</v>
      </c>
      <c r="G46" s="383">
        <f t="shared" si="42"/>
        <v>5.5036523846798259E-4</v>
      </c>
      <c r="H46" s="384">
        <f t="shared" si="43"/>
        <v>5.195840573088801E-4</v>
      </c>
      <c r="J46" s="385">
        <f>Ridership_FY2024!B40/'Revenue Hours_FY2024'!C40</f>
        <v>2.4101819589624469</v>
      </c>
      <c r="K46" s="386">
        <f>Ridership_FY2024!C40/'Revenue Hours_FY2024'!D40</f>
        <v>2.6243417203042716</v>
      </c>
      <c r="L46" s="386">
        <f>Ridership_FY2024!D40/'Revenue Hours_FY2024'!E40</f>
        <v>2.06749490079733</v>
      </c>
      <c r="M46" s="386">
        <f>Ridership_FY2024!E40/'Revenue Hours_FY2024'!F40</f>
        <v>2.1966604823747682</v>
      </c>
      <c r="N46" s="387">
        <f t="shared" si="2"/>
        <v>1.1505006924601566</v>
      </c>
      <c r="O46" s="388">
        <f t="shared" si="3"/>
        <v>5.977818177251243E-4</v>
      </c>
      <c r="P46" s="389">
        <f t="shared" si="4"/>
        <v>5.735902487809325E-4</v>
      </c>
      <c r="Q46" s="385">
        <f>Ridership_FY2024!B40/'Revenue Miles_FY2024'!C40</f>
        <v>0.21125231171210912</v>
      </c>
      <c r="R46" s="386">
        <f>Ridership_FY2024!C40/'Revenue Miles_FY2024'!D40</f>
        <v>0.22349384582163678</v>
      </c>
      <c r="S46" s="386">
        <f>Ridership_FY2024!D40/'Revenue Miles_FY2024'!E40</f>
        <v>0.21433239783168659</v>
      </c>
      <c r="T46" s="386">
        <f>Ridership_FY2024!E40/'Revenue Miles_FY2024'!F40</f>
        <v>0.21260549470281917</v>
      </c>
      <c r="U46" s="387">
        <f t="shared" si="5"/>
        <v>1.2322710598478355</v>
      </c>
      <c r="V46" s="388">
        <f t="shared" si="6"/>
        <v>6.4026839698005217E-4</v>
      </c>
      <c r="W46" s="389">
        <f t="shared" si="7"/>
        <v>6.1647053359869728E-4</v>
      </c>
      <c r="X46" s="385">
        <f>'Op Cost_FY2024'!B40/'Revenue Hours_FY2024'!C40</f>
        <v>26.421215640727837</v>
      </c>
      <c r="Y46" s="386">
        <f>'Op Cost_FY2024'!C40/'Revenue Hours_FY2024'!D40</f>
        <v>28.064170079968793</v>
      </c>
      <c r="Z46" s="386">
        <f>'Op Cost_FY2024'!D40/'Revenue Hours_FY2024'!E40</f>
        <v>27.145188206934915</v>
      </c>
      <c r="AA46" s="386">
        <f>'Op Cost_FY2024'!E40/'Revenue Hours_FY2024'!F40</f>
        <v>30.05751391465677</v>
      </c>
      <c r="AB46" s="387">
        <f t="shared" si="8"/>
        <v>0.97981080740083926</v>
      </c>
      <c r="AC46" s="388">
        <f t="shared" si="9"/>
        <v>5.3029018804884342E-4</v>
      </c>
      <c r="AD46" s="389">
        <f t="shared" si="10"/>
        <v>5.3324559860702485E-4</v>
      </c>
      <c r="AE46" s="385">
        <f>'Op Cost_FY2024'!B40/'Revenue Miles_FY2024'!C40</f>
        <v>2.3158180491694802</v>
      </c>
      <c r="AF46" s="386">
        <f>'Op Cost_FY2024'!C40/'Revenue Miles_FY2024'!D40</f>
        <v>2.3899971762204539</v>
      </c>
      <c r="AG46" s="386">
        <f>'Op Cost_FY2024'!D40/'Revenue Miles_FY2024'!E40</f>
        <v>2.8140786590288722</v>
      </c>
      <c r="AH46" s="386">
        <f>'Op Cost_FY2024'!E40/'Revenue Miles_FY2024'!F40</f>
        <v>2.9091398814868019</v>
      </c>
      <c r="AI46" s="387">
        <f t="shared" si="11"/>
        <v>1.0086373581556125</v>
      </c>
      <c r="AJ46" s="388">
        <f t="shared" si="12"/>
        <v>5.1513465479703028E-4</v>
      </c>
      <c r="AK46" s="389">
        <f t="shared" si="13"/>
        <v>5.157168561506733E-4</v>
      </c>
      <c r="AL46" s="385">
        <f>'Op Cost_FY2024'!B40/Ridership_FY2024!B40</f>
        <v>10.962332342783712</v>
      </c>
      <c r="AM46" s="386">
        <f>'Op Cost_FY2024'!C40/Ridership_FY2024!C40</f>
        <v>10.693794128576737</v>
      </c>
      <c r="AN46" s="386">
        <f>'Op Cost_FY2024'!D40/Ridership_FY2024!D40</f>
        <v>13.129506726457398</v>
      </c>
      <c r="AO46" s="386">
        <f>'Op Cost_FY2024'!E40/Ridership_FY2024!E40</f>
        <v>13.683277027027026</v>
      </c>
      <c r="AP46" s="390">
        <f t="shared" si="14"/>
        <v>0.93660009397915378</v>
      </c>
      <c r="AQ46" s="388">
        <f t="shared" si="15"/>
        <v>5.5475550413562602E-4</v>
      </c>
      <c r="AR46" s="389">
        <f t="shared" si="16"/>
        <v>5.8728001060794435E-4</v>
      </c>
      <c r="AT46" s="391">
        <f t="shared" si="26"/>
        <v>0</v>
      </c>
      <c r="AU46" s="392">
        <f t="shared" si="17"/>
        <v>0</v>
      </c>
      <c r="AV46" s="392">
        <f t="shared" si="18"/>
        <v>0</v>
      </c>
      <c r="AW46" s="392">
        <f t="shared" si="19"/>
        <v>0</v>
      </c>
      <c r="AX46" s="393">
        <f t="shared" si="20"/>
        <v>0</v>
      </c>
      <c r="AY46" s="368">
        <f t="shared" si="27"/>
        <v>-1</v>
      </c>
      <c r="AZ46" s="394">
        <f t="shared" si="21"/>
        <v>0</v>
      </c>
      <c r="BA46" s="395">
        <f t="shared" si="21"/>
        <v>0</v>
      </c>
      <c r="BB46" s="395">
        <f t="shared" si="21"/>
        <v>0</v>
      </c>
      <c r="BC46" s="395">
        <f t="shared" si="21"/>
        <v>0</v>
      </c>
      <c r="BD46" s="395">
        <f t="shared" si="21"/>
        <v>0</v>
      </c>
      <c r="BE46" s="396">
        <f t="shared" si="28"/>
        <v>65780.827457874504</v>
      </c>
      <c r="BG46" s="397">
        <f>'Op Cost_FY2024'!E40</f>
        <v>162010</v>
      </c>
      <c r="BH46" s="398">
        <f t="shared" si="22"/>
        <v>0.40602942693583421</v>
      </c>
      <c r="BI46" s="399">
        <f t="shared" si="23"/>
        <v>48603</v>
      </c>
      <c r="BJ46" s="400">
        <f t="shared" si="24"/>
        <v>17177.827457874504</v>
      </c>
      <c r="BL46" s="548">
        <f t="shared" si="29"/>
        <v>0.24533816639140527</v>
      </c>
      <c r="BM46" s="548">
        <f t="shared" si="30"/>
        <v>0.34301368230163709</v>
      </c>
      <c r="BN46" s="549">
        <f t="shared" si="31"/>
        <v>1.0303281640078936</v>
      </c>
      <c r="BO46" s="155">
        <f t="shared" si="25"/>
        <v>0</v>
      </c>
      <c r="BP46" s="154">
        <f t="shared" si="32"/>
        <v>3.4409560407469314E-4</v>
      </c>
      <c r="BQ46" s="153">
        <f t="shared" si="33"/>
        <v>0</v>
      </c>
      <c r="BR46" s="152">
        <f t="shared" si="34"/>
        <v>0</v>
      </c>
      <c r="BS46" s="151">
        <f t="shared" si="35"/>
        <v>48603</v>
      </c>
      <c r="BT46" s="540">
        <f t="shared" si="36"/>
        <v>48603</v>
      </c>
      <c r="BU46" s="540">
        <f t="shared" si="37"/>
        <v>48603</v>
      </c>
      <c r="BV46" s="540">
        <f t="shared" si="41"/>
        <v>0</v>
      </c>
      <c r="BW46" s="541">
        <f t="shared" si="38"/>
        <v>0</v>
      </c>
      <c r="BX46" s="542">
        <f t="shared" si="39"/>
        <v>0</v>
      </c>
      <c r="BY46" s="543">
        <f t="shared" si="40"/>
        <v>48603</v>
      </c>
    </row>
    <row r="47" spans="1:77">
      <c r="A47" s="403" t="s">
        <v>58</v>
      </c>
      <c r="B47" s="382" t="s">
        <v>98</v>
      </c>
      <c r="C47" s="179">
        <f>'Sizing - Reim Exp_FY2024'!B41</f>
        <v>1205875</v>
      </c>
      <c r="D47" s="178">
        <f>Ridership_FY2024!$E41</f>
        <v>49444</v>
      </c>
      <c r="E47" s="178">
        <f>'Revenue Hours_FY2024'!$F41</f>
        <v>18141</v>
      </c>
      <c r="F47" s="178">
        <f>'Revenue Miles_FY2024'!$F41</f>
        <v>310870</v>
      </c>
      <c r="G47" s="404">
        <f t="shared" si="42"/>
        <v>2.7367531168942466E-3</v>
      </c>
      <c r="H47" s="384">
        <f t="shared" si="43"/>
        <v>2.5836902277601957E-3</v>
      </c>
      <c r="J47" s="385">
        <f>Ridership_FY2024!B41/'Revenue Hours_FY2024'!C41</f>
        <v>2.1531983805668018</v>
      </c>
      <c r="K47" s="386">
        <f>Ridership_FY2024!C41/'Revenue Hours_FY2024'!D41</f>
        <v>2.3018086155869781</v>
      </c>
      <c r="L47" s="386">
        <f>Ridership_FY2024!D41/'Revenue Hours_FY2024'!E41</f>
        <v>1.8714498597475455</v>
      </c>
      <c r="M47" s="386">
        <f>Ridership_FY2024!E41/'Revenue Hours_FY2024'!F41</f>
        <v>2.7255388346838654</v>
      </c>
      <c r="N47" s="387">
        <f t="shared" si="2"/>
        <v>1.2621314439470319</v>
      </c>
      <c r="O47" s="388">
        <f t="shared" si="3"/>
        <v>3.2609566778748116E-3</v>
      </c>
      <c r="P47" s="389">
        <f t="shared" si="4"/>
        <v>3.1289893681345445E-3</v>
      </c>
      <c r="Q47" s="385">
        <f>Ridership_FY2024!B41/'Revenue Miles_FY2024'!C41</f>
        <v>0.14216405642296373</v>
      </c>
      <c r="R47" s="386">
        <f>Ridership_FY2024!C41/'Revenue Miles_FY2024'!D41</f>
        <v>0.15794010138539991</v>
      </c>
      <c r="S47" s="386">
        <f>Ridership_FY2024!D41/'Revenue Miles_FY2024'!E41</f>
        <v>0.12054951539089166</v>
      </c>
      <c r="T47" s="386">
        <f>Ridership_FY2024!E41/'Revenue Miles_FY2024'!F41</f>
        <v>0.1590504069225078</v>
      </c>
      <c r="U47" s="387">
        <f t="shared" si="5"/>
        <v>1.2117777521158943</v>
      </c>
      <c r="V47" s="388">
        <f t="shared" si="6"/>
        <v>3.1308583363590528E-3</v>
      </c>
      <c r="W47" s="389">
        <f t="shared" si="7"/>
        <v>3.0144887961685973E-3</v>
      </c>
      <c r="X47" s="385">
        <f>'Op Cost_FY2024'!B41/'Revenue Hours_FY2024'!C41</f>
        <v>27.147165991902835</v>
      </c>
      <c r="Y47" s="386">
        <f>'Op Cost_FY2024'!C41/'Revenue Hours_FY2024'!D41</f>
        <v>30.822514523731229</v>
      </c>
      <c r="Z47" s="386">
        <f>'Op Cost_FY2024'!D41/'Revenue Hours_FY2024'!E41</f>
        <v>53.352691093969142</v>
      </c>
      <c r="AA47" s="386">
        <f>'Op Cost_FY2024'!E41/'Revenue Hours_FY2024'!F41</f>
        <v>79.509949837384923</v>
      </c>
      <c r="AB47" s="387">
        <f t="shared" si="8"/>
        <v>1.3396410293256915</v>
      </c>
      <c r="AC47" s="388">
        <f t="shared" si="9"/>
        <v>1.9286436972303668E-3</v>
      </c>
      <c r="AD47" s="389">
        <f t="shared" si="10"/>
        <v>1.9393924043990534E-3</v>
      </c>
      <c r="AE47" s="385">
        <f>'Op Cost_FY2024'!B41/'Revenue Miles_FY2024'!C41</f>
        <v>1.7923807079868379</v>
      </c>
      <c r="AF47" s="386">
        <f>'Op Cost_FY2024'!C41/'Revenue Miles_FY2024'!D41</f>
        <v>2.1149069631011295</v>
      </c>
      <c r="AG47" s="386">
        <f>'Op Cost_FY2024'!D41/'Revenue Miles_FY2024'!E41</f>
        <v>3.4367156686984583</v>
      </c>
      <c r="AH47" s="386">
        <f>'Op Cost_FY2024'!E41/'Revenue Miles_FY2024'!F41</f>
        <v>4.639849454756007</v>
      </c>
      <c r="AI47" s="387">
        <f t="shared" si="11"/>
        <v>1.2854839634662996</v>
      </c>
      <c r="AJ47" s="388">
        <f t="shared" si="12"/>
        <v>2.0098968957911315E-3</v>
      </c>
      <c r="AK47" s="389">
        <f t="shared" si="13"/>
        <v>2.0121684663067544E-3</v>
      </c>
      <c r="AL47" s="385">
        <f>'Op Cost_FY2024'!B41/Ridership_FY2024!B41</f>
        <v>12.607833182912154</v>
      </c>
      <c r="AM47" s="386">
        <f>'Op Cost_FY2024'!C41/Ridership_FY2024!C41</f>
        <v>13.390563539910664</v>
      </c>
      <c r="AN47" s="386">
        <f>'Op Cost_FY2024'!D41/Ridership_FY2024!D41</f>
        <v>28.508747277453804</v>
      </c>
      <c r="AO47" s="386">
        <f>'Op Cost_FY2024'!E41/Ridership_FY2024!E41</f>
        <v>29.17219480624545</v>
      </c>
      <c r="AP47" s="390">
        <f t="shared" si="14"/>
        <v>1.0831038405019571</v>
      </c>
      <c r="AQ47" s="388">
        <f t="shared" si="15"/>
        <v>2.3854501582810401E-3</v>
      </c>
      <c r="AR47" s="389">
        <f t="shared" si="16"/>
        <v>2.5253056234977246E-3</v>
      </c>
      <c r="AT47" s="391">
        <f t="shared" si="26"/>
        <v>0</v>
      </c>
      <c r="AU47" s="392">
        <f t="shared" si="17"/>
        <v>0</v>
      </c>
      <c r="AV47" s="392">
        <f t="shared" si="18"/>
        <v>0</v>
      </c>
      <c r="AW47" s="392">
        <f t="shared" si="19"/>
        <v>0</v>
      </c>
      <c r="AX47" s="393">
        <f t="shared" si="20"/>
        <v>0</v>
      </c>
      <c r="AY47" s="368">
        <f t="shared" si="27"/>
        <v>-1</v>
      </c>
      <c r="AZ47" s="394">
        <f t="shared" si="21"/>
        <v>0</v>
      </c>
      <c r="BA47" s="395">
        <f t="shared" si="21"/>
        <v>0</v>
      </c>
      <c r="BB47" s="395">
        <f t="shared" si="21"/>
        <v>0</v>
      </c>
      <c r="BC47" s="395">
        <f t="shared" si="21"/>
        <v>0</v>
      </c>
      <c r="BD47" s="395">
        <f t="shared" si="21"/>
        <v>0</v>
      </c>
      <c r="BE47" s="396">
        <f t="shared" si="28"/>
        <v>327102.57115501608</v>
      </c>
      <c r="BG47" s="397">
        <f>'Op Cost_FY2024'!E41</f>
        <v>1442390</v>
      </c>
      <c r="BH47" s="398">
        <f t="shared" si="22"/>
        <v>0.22677817452631818</v>
      </c>
      <c r="BI47" s="399">
        <f t="shared" si="23"/>
        <v>327102.57115501608</v>
      </c>
      <c r="BJ47" s="400">
        <f t="shared" si="24"/>
        <v>0</v>
      </c>
      <c r="BL47" s="548">
        <f t="shared" si="29"/>
        <v>0.30440694203548974</v>
      </c>
      <c r="BM47" s="548">
        <f t="shared" si="30"/>
        <v>0.25660891702880229</v>
      </c>
      <c r="BN47" s="549">
        <f t="shared" si="31"/>
        <v>0.48327751101709554</v>
      </c>
      <c r="BO47" s="155">
        <f t="shared" si="25"/>
        <v>327102.57115501608</v>
      </c>
      <c r="BP47" s="154">
        <f t="shared" si="32"/>
        <v>9.8669248942629545E-4</v>
      </c>
      <c r="BQ47" s="153">
        <f t="shared" si="33"/>
        <v>9.8669248942629545E-4</v>
      </c>
      <c r="BR47" s="152">
        <f t="shared" si="34"/>
        <v>1.6475064993903632E-3</v>
      </c>
      <c r="BS47" s="151">
        <f t="shared" si="35"/>
        <v>347923.80295655283</v>
      </c>
      <c r="BT47" s="540">
        <f t="shared" si="36"/>
        <v>432717</v>
      </c>
      <c r="BU47" s="540">
        <f t="shared" si="37"/>
        <v>347923.80295655283</v>
      </c>
      <c r="BV47" s="540">
        <f t="shared" si="41"/>
        <v>0</v>
      </c>
      <c r="BW47" s="541">
        <f t="shared" si="38"/>
        <v>9.8669248942629545E-4</v>
      </c>
      <c r="BX47" s="542">
        <f t="shared" si="39"/>
        <v>2.2289974729642567E-3</v>
      </c>
      <c r="BY47" s="543">
        <f t="shared" si="40"/>
        <v>353068.90835706651</v>
      </c>
    </row>
    <row r="48" spans="1:77">
      <c r="A48" s="403" t="s">
        <v>58</v>
      </c>
      <c r="B48" s="382" t="s">
        <v>99</v>
      </c>
      <c r="C48" s="179">
        <f>'Sizing - Reim Exp_FY2024'!B42</f>
        <v>4022350</v>
      </c>
      <c r="D48" s="178">
        <f>Ridership_FY2024!$E42</f>
        <v>169413</v>
      </c>
      <c r="E48" s="178">
        <f>'Revenue Hours_FY2024'!$F42</f>
        <v>60519</v>
      </c>
      <c r="F48" s="178">
        <f>'Revenue Miles_FY2024'!$F42</f>
        <v>935668</v>
      </c>
      <c r="G48" s="404">
        <f t="shared" si="42"/>
        <v>8.92314296822053E-3</v>
      </c>
      <c r="H48" s="384">
        <f t="shared" si="43"/>
        <v>8.4240836871911987E-3</v>
      </c>
      <c r="J48" s="385">
        <f>Ridership_FY2024!B42/'Revenue Hours_FY2024'!C42</f>
        <v>4.7280595896966418</v>
      </c>
      <c r="K48" s="386">
        <f>Ridership_FY2024!C42/'Revenue Hours_FY2024'!D42</f>
        <v>4.6066913646259025</v>
      </c>
      <c r="L48" s="386">
        <f>Ridership_FY2024!D42/'Revenue Hours_FY2024'!E42</f>
        <v>2.6052602436323364</v>
      </c>
      <c r="M48" s="386">
        <f>Ridership_FY2024!E42/'Revenue Hours_FY2024'!F42</f>
        <v>2.7993357457988401</v>
      </c>
      <c r="N48" s="387">
        <f t="shared" si="2"/>
        <v>0.97105400854216295</v>
      </c>
      <c r="O48" s="388">
        <f t="shared" si="3"/>
        <v>8.1802402327416576E-3</v>
      </c>
      <c r="P48" s="389">
        <f t="shared" si="4"/>
        <v>7.8491949588597783E-3</v>
      </c>
      <c r="Q48" s="385">
        <f>Ridership_FY2024!B42/'Revenue Miles_FY2024'!C42</f>
        <v>0.24363623107916568</v>
      </c>
      <c r="R48" s="386">
        <f>Ridership_FY2024!C42/'Revenue Miles_FY2024'!D42</f>
        <v>0.25866990351642838</v>
      </c>
      <c r="S48" s="386">
        <f>Ridership_FY2024!D42/'Revenue Miles_FY2024'!E42</f>
        <v>0.16890249812434263</v>
      </c>
      <c r="T48" s="386">
        <f>Ridership_FY2024!E42/'Revenue Miles_FY2024'!F42</f>
        <v>0.1810610173694088</v>
      </c>
      <c r="U48" s="387">
        <f t="shared" si="5"/>
        <v>1.0591075107965426</v>
      </c>
      <c r="V48" s="388">
        <f t="shared" si="6"/>
        <v>8.9220103046828304E-3</v>
      </c>
      <c r="W48" s="389">
        <f t="shared" si="7"/>
        <v>8.5903919032134582E-3</v>
      </c>
      <c r="X48" s="385">
        <f>'Op Cost_FY2024'!B42/'Revenue Hours_FY2024'!C42</f>
        <v>61.140297948483209</v>
      </c>
      <c r="Y48" s="386">
        <f>'Op Cost_FY2024'!C42/'Revenue Hours_FY2024'!D42</f>
        <v>60.089370965893899</v>
      </c>
      <c r="Z48" s="386">
        <f>'Op Cost_FY2024'!D42/'Revenue Hours_FY2024'!E42</f>
        <v>61.375230712440015</v>
      </c>
      <c r="AA48" s="386">
        <f>'Op Cost_FY2024'!E42/'Revenue Hours_FY2024'!F42</f>
        <v>66.464250896412693</v>
      </c>
      <c r="AB48" s="387">
        <f t="shared" si="8"/>
        <v>0.96052410898235108</v>
      </c>
      <c r="AC48" s="388">
        <f t="shared" si="9"/>
        <v>8.7702990569557739E-3</v>
      </c>
      <c r="AD48" s="389">
        <f t="shared" si="10"/>
        <v>8.819177642710313E-3</v>
      </c>
      <c r="AE48" s="385">
        <f>'Op Cost_FY2024'!B42/'Revenue Miles_FY2024'!C42</f>
        <v>3.1505507654106029</v>
      </c>
      <c r="AF48" s="386">
        <f>'Op Cost_FY2024'!C42/'Revenue Miles_FY2024'!D42</f>
        <v>3.3740727476265127</v>
      </c>
      <c r="AG48" s="386">
        <f>'Op Cost_FY2024'!D42/'Revenue Miles_FY2024'!E42</f>
        <v>3.9790381078535897</v>
      </c>
      <c r="AH48" s="386">
        <f>'Op Cost_FY2024'!E42/'Revenue Miles_FY2024'!F42</f>
        <v>4.2989073047277451</v>
      </c>
      <c r="AI48" s="387">
        <f t="shared" si="11"/>
        <v>1.0378270388481003</v>
      </c>
      <c r="AJ48" s="388">
        <f t="shared" si="12"/>
        <v>8.1170400961428166E-3</v>
      </c>
      <c r="AK48" s="389">
        <f t="shared" si="13"/>
        <v>8.1262139144591371E-3</v>
      </c>
      <c r="AL48" s="385">
        <f>'Op Cost_FY2024'!B42/Ridership_FY2024!B42</f>
        <v>12.931372117584932</v>
      </c>
      <c r="AM48" s="386">
        <f>'Op Cost_FY2024'!C42/Ridership_FY2024!C42</f>
        <v>13.043932447333294</v>
      </c>
      <c r="AN48" s="386">
        <f>'Op Cost_FY2024'!D42/Ridership_FY2024!D42</f>
        <v>23.558195716704567</v>
      </c>
      <c r="AO48" s="386">
        <f>'Op Cost_FY2024'!E42/Ridership_FY2024!E42</f>
        <v>23.742865069386646</v>
      </c>
      <c r="AP48" s="390">
        <f t="shared" si="14"/>
        <v>1.0138070034269091</v>
      </c>
      <c r="AQ48" s="388">
        <f t="shared" si="15"/>
        <v>8.3093563752428112E-3</v>
      </c>
      <c r="AR48" s="389">
        <f t="shared" si="16"/>
        <v>8.7965218259551513E-3</v>
      </c>
      <c r="AT48" s="391">
        <f t="shared" si="26"/>
        <v>0</v>
      </c>
      <c r="AU48" s="392">
        <f t="shared" si="17"/>
        <v>0</v>
      </c>
      <c r="AV48" s="392">
        <f t="shared" si="18"/>
        <v>0</v>
      </c>
      <c r="AW48" s="392">
        <f t="shared" si="19"/>
        <v>0</v>
      </c>
      <c r="AX48" s="393">
        <f t="shared" si="20"/>
        <v>0</v>
      </c>
      <c r="AY48" s="368">
        <f t="shared" si="27"/>
        <v>-1</v>
      </c>
      <c r="AZ48" s="394">
        <f t="shared" si="21"/>
        <v>0</v>
      </c>
      <c r="BA48" s="395">
        <f t="shared" si="21"/>
        <v>0</v>
      </c>
      <c r="BB48" s="395">
        <f t="shared" si="21"/>
        <v>0</v>
      </c>
      <c r="BC48" s="395">
        <f t="shared" si="21"/>
        <v>0</v>
      </c>
      <c r="BD48" s="395">
        <f t="shared" si="21"/>
        <v>0</v>
      </c>
      <c r="BE48" s="396">
        <f t="shared" si="28"/>
        <v>1066513.0843081176</v>
      </c>
      <c r="BG48" s="397">
        <f>'Op Cost_FY2024'!E42</f>
        <v>4022350</v>
      </c>
      <c r="BH48" s="398">
        <f t="shared" si="22"/>
        <v>0.26514676353577327</v>
      </c>
      <c r="BI48" s="399">
        <f t="shared" si="23"/>
        <v>1066513.0843081176</v>
      </c>
      <c r="BJ48" s="400">
        <f t="shared" si="24"/>
        <v>0</v>
      </c>
      <c r="BL48" s="548">
        <f t="shared" si="29"/>
        <v>0.31264908915088019</v>
      </c>
      <c r="BM48" s="548">
        <f t="shared" si="30"/>
        <v>0.29212041944623385</v>
      </c>
      <c r="BN48" s="549">
        <f t="shared" si="31"/>
        <v>0.59378957239015073</v>
      </c>
      <c r="BO48" s="155">
        <f t="shared" si="25"/>
        <v>1066513.0843081176</v>
      </c>
      <c r="BP48" s="154">
        <f t="shared" si="32"/>
        <v>3.7747237631689497E-3</v>
      </c>
      <c r="BQ48" s="153">
        <f t="shared" si="33"/>
        <v>3.7747237631689497E-3</v>
      </c>
      <c r="BR48" s="152">
        <f t="shared" si="34"/>
        <v>6.3027559243306035E-3</v>
      </c>
      <c r="BS48" s="151">
        <f t="shared" si="35"/>
        <v>1146167.484541171</v>
      </c>
      <c r="BT48" s="540">
        <f t="shared" si="36"/>
        <v>1206705</v>
      </c>
      <c r="BU48" s="540">
        <f t="shared" si="37"/>
        <v>1146167.484541171</v>
      </c>
      <c r="BV48" s="540">
        <f t="shared" si="41"/>
        <v>0</v>
      </c>
      <c r="BW48" s="541">
        <f t="shared" si="38"/>
        <v>3.7747237631689497E-3</v>
      </c>
      <c r="BX48" s="542">
        <f t="shared" si="39"/>
        <v>8.5273272264734523E-3</v>
      </c>
      <c r="BY48" s="543">
        <f t="shared" si="40"/>
        <v>1165850.7717126587</v>
      </c>
    </row>
    <row r="49" spans="1:77" s="115" customFormat="1" ht="15" thickBot="1">
      <c r="A49" s="430"/>
      <c r="B49" s="431" t="s">
        <v>102</v>
      </c>
      <c r="C49" s="432">
        <f>SUM(C9:C48)-C32</f>
        <v>464821573</v>
      </c>
      <c r="D49" s="433">
        <f>SUM(D9:D48)-D32</f>
        <v>38752057</v>
      </c>
      <c r="E49" s="433">
        <f>SUM(E9:E48)-E32</f>
        <v>4348164</v>
      </c>
      <c r="F49" s="433">
        <f>SUM(F9:F48)-F32</f>
        <v>61650078.5</v>
      </c>
      <c r="G49" s="434">
        <f>SUM(G9:G48)</f>
        <v>1.0559286433946775</v>
      </c>
      <c r="H49" s="435">
        <f>SUM(H9:H48)</f>
        <v>0.99999999999999956</v>
      </c>
      <c r="J49" s="436">
        <f>Ridership_FY2024!B43/'Revenue Hours_FY2024'!C43</f>
        <v>13.582953416309731</v>
      </c>
      <c r="K49" s="437">
        <f>Ridership_FY2024!C43/'Revenue Hours_FY2024'!D43</f>
        <v>13.526760546299428</v>
      </c>
      <c r="L49" s="437">
        <f>Ridership_FY2024!D43/'Revenue Hours_FY2024'!E43</f>
        <v>6.9491805201049877</v>
      </c>
      <c r="M49" s="437">
        <f>Ridership_FY2024!E43/'Revenue Hours_FY2024'!F43</f>
        <v>8.9536027544539518</v>
      </c>
      <c r="N49" s="438"/>
      <c r="O49" s="439">
        <f>SUM(O9:O48)</f>
        <v>1.0421756977138417</v>
      </c>
      <c r="P49" s="440">
        <f>SUM(P9:P48)</f>
        <v>0.99999999999999989</v>
      </c>
      <c r="Q49" s="436">
        <f>Ridership_FY2024!B43/'Revenue Miles_FY2024'!C43</f>
        <v>0.95494323136259107</v>
      </c>
      <c r="R49" s="437">
        <f>Ridership_FY2024!C43/'Revenue Miles_FY2024'!D43</f>
        <v>0.94516480852199081</v>
      </c>
      <c r="S49" s="437">
        <f>Ridership_FY2024!D43/'Revenue Miles_FY2024'!E43</f>
        <v>0.49283534368231213</v>
      </c>
      <c r="T49" s="437">
        <f>Ridership_FY2024!E43/'Revenue Miles_FY2024'!F43</f>
        <v>0.61981636789595917</v>
      </c>
      <c r="U49" s="438"/>
      <c r="V49" s="439">
        <f>SUM(V9:V48)</f>
        <v>1.0386034077613295</v>
      </c>
      <c r="W49" s="440">
        <f>SUM(W9:W48)</f>
        <v>1.0000000000000002</v>
      </c>
      <c r="X49" s="441">
        <f>'Op Cost_FY2024'!B43/'Revenue Hours_FY2024'!C43</f>
        <v>101.23415773619254</v>
      </c>
      <c r="Y49" s="442">
        <f>'Op Cost_FY2024'!C43/'Revenue Hours_FY2024'!D43</f>
        <v>103.16343259700481</v>
      </c>
      <c r="Z49" s="442">
        <f>'Op Cost_FY2024'!D43/'Revenue Hours_FY2024'!E43</f>
        <v>125.95961510933006</v>
      </c>
      <c r="AA49" s="442">
        <f>'Op Cost_FY2024'!E43/'Revenue Hours_FY2024'!F43</f>
        <v>126.23027057650225</v>
      </c>
      <c r="AB49" s="438"/>
      <c r="AC49" s="439">
        <f>SUM(AC9:AC48)</f>
        <v>0.99445769347951163</v>
      </c>
      <c r="AD49" s="440">
        <f>SUM(AD9:AD48)</f>
        <v>1</v>
      </c>
      <c r="AE49" s="441">
        <f>'Op Cost_FY2024'!B43/'Revenue Miles_FY2024'!C43</f>
        <v>7.1172204416743412</v>
      </c>
      <c r="AF49" s="442">
        <f>'Op Cost_FY2024'!C43/'Revenue Miles_FY2024'!D43</f>
        <v>7.2084107413060252</v>
      </c>
      <c r="AG49" s="442">
        <f>'Op Cost_FY2024'!D43/'Revenue Miles_FY2024'!E43</f>
        <v>8.9330461372962819</v>
      </c>
      <c r="AH49" s="442">
        <f>'Op Cost_FY2024'!E43/'Revenue Miles_FY2024'!F43</f>
        <v>8.7383358378650051</v>
      </c>
      <c r="AI49" s="438"/>
      <c r="AJ49" s="439">
        <f>SUM(AJ9:AJ48)</f>
        <v>0.9988710833343929</v>
      </c>
      <c r="AK49" s="440">
        <f>SUM(AK9:AK48)</f>
        <v>1.0000000000000002</v>
      </c>
      <c r="AL49" s="441">
        <f>'Op Cost_FY2024'!B43/Ridership_FY2024!B43</f>
        <v>7.453029884843426</v>
      </c>
      <c r="AM49" s="442">
        <f>'Op Cost_FY2024'!C43/Ridership_FY2024!C43</f>
        <v>7.6266177880429513</v>
      </c>
      <c r="AN49" s="442">
        <f>'Op Cost_FY2024'!D43/Ridership_FY2024!D43</f>
        <v>18.125822857085176</v>
      </c>
      <c r="AO49" s="442">
        <f>'Op Cost_FY2024'!E43/Ridership_FY2024!E43</f>
        <v>14.098265696868143</v>
      </c>
      <c r="AP49" s="443"/>
      <c r="AQ49" s="439">
        <f>SUM(AQ9:AQ48)</f>
        <v>0.9446184002778345</v>
      </c>
      <c r="AR49" s="440">
        <f>SUM(AR9:AR48)</f>
        <v>1</v>
      </c>
      <c r="AT49" s="444">
        <f>SUM(AT9:AT48)</f>
        <v>0</v>
      </c>
      <c r="AU49" s="445">
        <f>SUM(AU9:AU48)</f>
        <v>0</v>
      </c>
      <c r="AV49" s="445">
        <f>SUM(AV9:AV48)</f>
        <v>0</v>
      </c>
      <c r="AW49" s="445">
        <f>SUM(AW9:AW48)</f>
        <v>0</v>
      </c>
      <c r="AX49" s="446">
        <f>SUM(AX9:AX48)</f>
        <v>0</v>
      </c>
      <c r="AZ49" s="447">
        <f t="shared" si="21"/>
        <v>0</v>
      </c>
      <c r="BA49" s="448">
        <f t="shared" si="21"/>
        <v>0</v>
      </c>
      <c r="BB49" s="448">
        <f t="shared" si="21"/>
        <v>0</v>
      </c>
      <c r="BC49" s="448">
        <f t="shared" si="21"/>
        <v>0</v>
      </c>
      <c r="BD49" s="448">
        <f t="shared" si="21"/>
        <v>0</v>
      </c>
      <c r="BE49" s="449">
        <f>SUM(BE9:BE48)</f>
        <v>126602859.5999999</v>
      </c>
      <c r="BG49" s="450">
        <f>'Op Cost_FY2024'!E43</f>
        <v>557924668</v>
      </c>
      <c r="BH49" s="451"/>
      <c r="BI49" s="452">
        <f>SUM(BI9:BI48)</f>
        <v>120628140.89100738</v>
      </c>
      <c r="BJ49" s="453">
        <f>SUM(BJ9:BJ48)</f>
        <v>5974718.7089925185</v>
      </c>
      <c r="BO49" s="454">
        <f>SUM(BO9:BO48)</f>
        <v>90560229.496094242</v>
      </c>
      <c r="BP49" s="457">
        <f>SUM(BP9:BP48)</f>
        <v>1.2415403087662358</v>
      </c>
      <c r="BQ49" s="457">
        <f>SUM(BQ9:BQ48)</f>
        <v>0.59890051407469846</v>
      </c>
      <c r="BR49" s="455">
        <f>SUM(BR9:BR48)</f>
        <v>1</v>
      </c>
      <c r="BS49" s="455">
        <f>SUM(BS9:BS48)</f>
        <v>133266167.99999994</v>
      </c>
      <c r="BT49" s="455"/>
      <c r="BU49" s="455"/>
      <c r="BV49" s="455">
        <f>SUM(BV9:BV48)</f>
        <v>2308259.8625252801</v>
      </c>
      <c r="BW49" s="457">
        <f>SUM(BW9:BW48)</f>
        <v>0.44266200450830107</v>
      </c>
      <c r="BX49" s="455">
        <f t="shared" ref="BX49" si="44">IF($BX$50=0,1,BW49/$BX$50)</f>
        <v>1</v>
      </c>
      <c r="BY49" s="480">
        <f>SUM(BY9:BY48)</f>
        <v>133266167.99999991</v>
      </c>
    </row>
    <row r="50" spans="1:77">
      <c r="BP50" s="481">
        <f>BP49-BP32</f>
        <v>1.2112626730685891</v>
      </c>
    </row>
    <row r="53" spans="1:77">
      <c r="B53" s="107">
        <v>1</v>
      </c>
      <c r="C53" s="107">
        <f>B53+1</f>
        <v>2</v>
      </c>
      <c r="D53" s="107">
        <f t="shared" ref="D53:BO53" si="45">C53+1</f>
        <v>3</v>
      </c>
      <c r="E53" s="107">
        <f t="shared" si="45"/>
        <v>4</v>
      </c>
      <c r="F53" s="107">
        <f t="shared" si="45"/>
        <v>5</v>
      </c>
      <c r="G53" s="107">
        <f t="shared" si="45"/>
        <v>6</v>
      </c>
      <c r="H53" s="107">
        <f t="shared" si="45"/>
        <v>7</v>
      </c>
      <c r="I53" s="107">
        <f t="shared" si="45"/>
        <v>8</v>
      </c>
      <c r="J53" s="107">
        <f t="shared" si="45"/>
        <v>9</v>
      </c>
      <c r="K53" s="107">
        <f t="shared" si="45"/>
        <v>10</v>
      </c>
      <c r="L53" s="107">
        <f t="shared" si="45"/>
        <v>11</v>
      </c>
      <c r="M53" s="107">
        <f t="shared" si="45"/>
        <v>12</v>
      </c>
      <c r="N53" s="107">
        <f t="shared" si="45"/>
        <v>13</v>
      </c>
      <c r="O53" s="107">
        <f t="shared" si="45"/>
        <v>14</v>
      </c>
      <c r="P53" s="107">
        <f t="shared" si="45"/>
        <v>15</v>
      </c>
      <c r="Q53" s="107">
        <f t="shared" si="45"/>
        <v>16</v>
      </c>
      <c r="R53" s="107">
        <f t="shared" si="45"/>
        <v>17</v>
      </c>
      <c r="S53" s="107">
        <f t="shared" si="45"/>
        <v>18</v>
      </c>
      <c r="T53" s="107">
        <f t="shared" si="45"/>
        <v>19</v>
      </c>
      <c r="U53" s="107">
        <f t="shared" si="45"/>
        <v>20</v>
      </c>
      <c r="V53" s="107">
        <f t="shared" si="45"/>
        <v>21</v>
      </c>
      <c r="W53" s="107">
        <f t="shared" si="45"/>
        <v>22</v>
      </c>
      <c r="X53" s="107">
        <f t="shared" si="45"/>
        <v>23</v>
      </c>
      <c r="Y53" s="107">
        <f t="shared" si="45"/>
        <v>24</v>
      </c>
      <c r="Z53" s="107">
        <f t="shared" si="45"/>
        <v>25</v>
      </c>
      <c r="AA53" s="107">
        <f t="shared" si="45"/>
        <v>26</v>
      </c>
      <c r="AB53" s="107">
        <f t="shared" si="45"/>
        <v>27</v>
      </c>
      <c r="AC53" s="107">
        <f t="shared" si="45"/>
        <v>28</v>
      </c>
      <c r="AD53" s="107">
        <f t="shared" si="45"/>
        <v>29</v>
      </c>
      <c r="AE53" s="107">
        <f t="shared" si="45"/>
        <v>30</v>
      </c>
      <c r="AF53" s="107">
        <f t="shared" si="45"/>
        <v>31</v>
      </c>
      <c r="AG53" s="107">
        <f t="shared" si="45"/>
        <v>32</v>
      </c>
      <c r="AH53" s="107">
        <f t="shared" si="45"/>
        <v>33</v>
      </c>
      <c r="AI53" s="107">
        <f t="shared" si="45"/>
        <v>34</v>
      </c>
      <c r="AJ53" s="107">
        <f t="shared" si="45"/>
        <v>35</v>
      </c>
      <c r="AK53" s="107">
        <f t="shared" si="45"/>
        <v>36</v>
      </c>
      <c r="AL53" s="107">
        <f t="shared" si="45"/>
        <v>37</v>
      </c>
      <c r="AM53" s="107">
        <f t="shared" si="45"/>
        <v>38</v>
      </c>
      <c r="AN53" s="107">
        <f t="shared" si="45"/>
        <v>39</v>
      </c>
      <c r="AO53" s="107">
        <f t="shared" si="45"/>
        <v>40</v>
      </c>
      <c r="AP53" s="107">
        <f t="shared" si="45"/>
        <v>41</v>
      </c>
      <c r="AQ53" s="107">
        <f t="shared" si="45"/>
        <v>42</v>
      </c>
      <c r="AR53" s="107">
        <f t="shared" si="45"/>
        <v>43</v>
      </c>
      <c r="AS53" s="107">
        <f t="shared" si="45"/>
        <v>44</v>
      </c>
      <c r="AT53" s="107">
        <f t="shared" si="45"/>
        <v>45</v>
      </c>
      <c r="AU53" s="107">
        <f t="shared" si="45"/>
        <v>46</v>
      </c>
      <c r="AV53" s="107">
        <f t="shared" si="45"/>
        <v>47</v>
      </c>
      <c r="AW53" s="107">
        <f t="shared" si="45"/>
        <v>48</v>
      </c>
      <c r="AX53" s="107">
        <f t="shared" si="45"/>
        <v>49</v>
      </c>
      <c r="AY53" s="107">
        <f t="shared" si="45"/>
        <v>50</v>
      </c>
      <c r="AZ53" s="107">
        <f t="shared" si="45"/>
        <v>51</v>
      </c>
      <c r="BA53" s="107">
        <f t="shared" si="45"/>
        <v>52</v>
      </c>
      <c r="BB53" s="107">
        <f t="shared" si="45"/>
        <v>53</v>
      </c>
      <c r="BC53" s="107">
        <f t="shared" si="45"/>
        <v>54</v>
      </c>
      <c r="BD53" s="107">
        <f t="shared" si="45"/>
        <v>55</v>
      </c>
      <c r="BE53" s="107">
        <f t="shared" si="45"/>
        <v>56</v>
      </c>
      <c r="BF53" s="107">
        <f t="shared" si="45"/>
        <v>57</v>
      </c>
      <c r="BG53" s="107">
        <f t="shared" si="45"/>
        <v>58</v>
      </c>
      <c r="BH53" s="107">
        <f t="shared" si="45"/>
        <v>59</v>
      </c>
      <c r="BI53" s="107">
        <f t="shared" si="45"/>
        <v>60</v>
      </c>
      <c r="BJ53" s="107">
        <f t="shared" si="45"/>
        <v>61</v>
      </c>
      <c r="BK53" s="107">
        <f t="shared" si="45"/>
        <v>62</v>
      </c>
      <c r="BL53" s="107">
        <f t="shared" si="45"/>
        <v>63</v>
      </c>
      <c r="BM53" s="107">
        <f t="shared" si="45"/>
        <v>64</v>
      </c>
      <c r="BN53" s="107">
        <f t="shared" si="45"/>
        <v>65</v>
      </c>
      <c r="BO53" s="107">
        <f t="shared" si="45"/>
        <v>66</v>
      </c>
      <c r="BP53" s="107">
        <f t="shared" ref="BP53:BQ53" si="46">BO53+1</f>
        <v>67</v>
      </c>
      <c r="BQ53" s="107">
        <f t="shared" si="46"/>
        <v>68</v>
      </c>
      <c r="BR53" s="107">
        <f t="shared" ref="BR53" si="47">BQ53+1</f>
        <v>69</v>
      </c>
      <c r="BS53" s="107">
        <f t="shared" ref="BS53" si="48">BR53+1</f>
        <v>70</v>
      </c>
      <c r="BT53" s="107">
        <f t="shared" ref="BT53" si="49">BS53+1</f>
        <v>71</v>
      </c>
      <c r="BU53" s="107">
        <f t="shared" ref="BU53" si="50">BT53+1</f>
        <v>72</v>
      </c>
      <c r="BV53" s="107">
        <f t="shared" ref="BV53" si="51">BU53+1</f>
        <v>73</v>
      </c>
      <c r="BW53" s="107">
        <f t="shared" ref="BW53" si="52">BV53+1</f>
        <v>74</v>
      </c>
      <c r="BX53" s="107">
        <f t="shared" ref="BX53" si="53">BW53+1</f>
        <v>75</v>
      </c>
      <c r="BY53" s="107">
        <f t="shared" ref="BY53" si="54">BX53+1</f>
        <v>76</v>
      </c>
    </row>
  </sheetData>
  <autoFilter ref="A8:BY8" xr:uid="{00000000-0001-0000-0F00-000000000000}"/>
  <conditionalFormatting sqref="BK9:BK48">
    <cfRule type="cellIs" dxfId="8" priority="1" operator="greaterThan">
      <formula>0.93</formula>
    </cfRule>
  </conditionalFormatting>
  <printOptions horizontalCentered="1"/>
  <pageMargins left="0.25" right="0.25" top="0.75" bottom="0.75" header="0.3" footer="0.3"/>
  <pageSetup paperSize="17" scale="16" orientation="landscape" r:id="rId1"/>
  <headerFooter alignWithMargins="0">
    <oddFooter>&amp;L&amp;F&amp;R&amp;D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5CE52-90A7-467F-9557-87EDFF62A9E9}">
  <sheetPr>
    <tabColor theme="5"/>
    <pageSetUpPr fitToPage="1"/>
  </sheetPr>
  <dimension ref="A1:CO56"/>
  <sheetViews>
    <sheetView zoomScale="70" zoomScaleNormal="70" workbookViewId="0">
      <pane xSplit="2" topLeftCell="C1" activePane="topRight" state="frozen"/>
      <selection activeCell="H52" sqref="H52"/>
      <selection pane="topRight"/>
    </sheetView>
  </sheetViews>
  <sheetFormatPr defaultColWidth="9.42578125" defaultRowHeight="14.25"/>
  <cols>
    <col min="1" max="1" width="13.42578125" style="111" customWidth="1"/>
    <col min="2" max="2" width="40.140625" style="107" customWidth="1"/>
    <col min="3" max="3" width="21.42578125" style="107" customWidth="1"/>
    <col min="4" max="4" width="17.42578125" style="107" customWidth="1"/>
    <col min="5" max="5" width="14.42578125" style="107" customWidth="1"/>
    <col min="6" max="6" width="17.85546875" style="107" customWidth="1"/>
    <col min="7" max="7" width="14.5703125" style="107" customWidth="1"/>
    <col min="8" max="8" width="17.42578125" style="110" customWidth="1"/>
    <col min="9" max="9" width="9.42578125" style="107" customWidth="1"/>
    <col min="10" max="10" width="8.5703125" style="107" customWidth="1"/>
    <col min="11" max="11" width="11.5703125" style="107" customWidth="1"/>
    <col min="12" max="13" width="8.5703125" style="107" customWidth="1"/>
    <col min="14" max="16" width="15.5703125" style="107" customWidth="1"/>
    <col min="17" max="20" width="8.5703125" style="107" customWidth="1"/>
    <col min="21" max="22" width="15.5703125" style="107" customWidth="1"/>
    <col min="23" max="23" width="15.5703125" style="109" customWidth="1"/>
    <col min="24" max="27" width="10.5703125" style="107" customWidth="1"/>
    <col min="28" max="29" width="15.5703125" style="107" customWidth="1"/>
    <col min="30" max="30" width="15.5703125" style="109" customWidth="1"/>
    <col min="31" max="34" width="8.5703125" style="107" customWidth="1"/>
    <col min="35" max="36" width="15.5703125" style="107" customWidth="1"/>
    <col min="37" max="37" width="15.5703125" style="109" customWidth="1"/>
    <col min="38" max="40" width="8.5703125" style="107" customWidth="1"/>
    <col min="41" max="41" width="9.42578125" style="107" customWidth="1"/>
    <col min="42" max="43" width="15.5703125" style="107" customWidth="1"/>
    <col min="44" max="44" width="15.5703125" style="109" customWidth="1"/>
    <col min="45" max="45" width="9.42578125" style="107" customWidth="1"/>
    <col min="46" max="50" width="17.5703125" style="107" customWidth="1"/>
    <col min="51" max="51" width="9.42578125" style="107" customWidth="1"/>
    <col min="52" max="52" width="20.42578125" style="107" customWidth="1"/>
    <col min="53" max="57" width="17.5703125" style="107" customWidth="1"/>
    <col min="58" max="58" width="14.42578125" style="107" bestFit="1" customWidth="1"/>
    <col min="59" max="59" width="14.5703125" style="108" customWidth="1"/>
    <col min="60" max="60" width="18.5703125" style="107" customWidth="1"/>
    <col min="61" max="61" width="23.5703125" style="107" customWidth="1"/>
    <col min="62" max="62" width="15" style="107" customWidth="1"/>
    <col min="63" max="66" width="9.42578125" style="107" customWidth="1"/>
    <col min="67" max="70" width="21.5703125" style="107" customWidth="1"/>
    <col min="71" max="71" width="19.140625" style="107" customWidth="1"/>
    <col min="72" max="78" width="21.5703125" style="107" customWidth="1"/>
    <col min="79" max="79" width="18.42578125" style="107" customWidth="1"/>
    <col min="80" max="16384" width="9.42578125" style="107"/>
  </cols>
  <sheetData>
    <row r="1" spans="1:79" ht="15" customHeight="1">
      <c r="A1" s="350"/>
      <c r="C1" s="351" t="s">
        <v>195</v>
      </c>
      <c r="F1" s="352"/>
      <c r="BO1" s="247" t="s">
        <v>196</v>
      </c>
      <c r="BP1" s="247"/>
      <c r="BQ1" s="247"/>
      <c r="BR1" s="247"/>
      <c r="BS1" s="247"/>
      <c r="BT1" s="247"/>
      <c r="BU1" s="247"/>
      <c r="BV1" s="247"/>
      <c r="BW1" s="247"/>
      <c r="BX1" s="247"/>
      <c r="BY1" s="247"/>
      <c r="BZ1" s="247"/>
    </row>
    <row r="2" spans="1:79" ht="15" customHeight="1">
      <c r="B2" s="251"/>
      <c r="C2" s="353">
        <v>0</v>
      </c>
      <c r="D2" s="249"/>
      <c r="E2" s="111"/>
      <c r="F2" s="354"/>
      <c r="H2" s="236"/>
      <c r="L2" s="228"/>
      <c r="N2" s="150"/>
      <c r="O2" s="150"/>
      <c r="R2" s="228"/>
      <c r="Y2" s="228"/>
      <c r="AF2" s="228"/>
      <c r="AM2" s="228"/>
    </row>
    <row r="3" spans="1:79" ht="15" customHeight="1">
      <c r="B3" s="251"/>
      <c r="C3" s="355" t="s">
        <v>179</v>
      </c>
      <c r="D3" s="356"/>
      <c r="E3" s="357"/>
      <c r="F3" s="358"/>
      <c r="H3" s="236"/>
      <c r="L3" s="228"/>
      <c r="N3" s="150"/>
      <c r="O3" s="150"/>
      <c r="R3" s="228"/>
      <c r="Y3" s="228"/>
      <c r="AF3" s="228"/>
      <c r="AM3" s="228"/>
      <c r="AT3" s="359" t="s">
        <v>178</v>
      </c>
      <c r="AU3" s="360"/>
      <c r="AV3" s="360"/>
      <c r="AW3" s="360"/>
      <c r="AX3" s="361"/>
      <c r="AZ3" s="246" t="s">
        <v>177</v>
      </c>
      <c r="BI3" s="246" t="s">
        <v>176</v>
      </c>
      <c r="BO3" s="246" t="s">
        <v>173</v>
      </c>
      <c r="BP3" s="247"/>
      <c r="BQ3" s="247"/>
      <c r="BR3" s="247"/>
      <c r="BS3" s="247"/>
      <c r="BT3" s="247"/>
      <c r="BU3" s="247" t="s">
        <v>174</v>
      </c>
      <c r="BV3" s="247"/>
      <c r="BW3" s="247"/>
      <c r="BX3" s="247"/>
      <c r="BY3" s="247"/>
      <c r="BZ3" s="247"/>
    </row>
    <row r="4" spans="1:79">
      <c r="B4" s="238"/>
      <c r="C4" s="245">
        <v>0.35</v>
      </c>
      <c r="D4" s="245">
        <v>0.35</v>
      </c>
      <c r="E4" s="245">
        <v>0.15</v>
      </c>
      <c r="F4" s="245">
        <v>0.15</v>
      </c>
      <c r="H4" s="236"/>
      <c r="L4" s="228"/>
      <c r="N4" s="150"/>
      <c r="O4" s="150"/>
      <c r="R4" s="228"/>
      <c r="Y4" s="228"/>
      <c r="AF4" s="228"/>
      <c r="AM4" s="228"/>
      <c r="AT4" s="244">
        <v>0</v>
      </c>
      <c r="AU4" s="244">
        <v>0</v>
      </c>
      <c r="AV4" s="244">
        <v>0</v>
      </c>
      <c r="AW4" s="244">
        <v>0</v>
      </c>
      <c r="AX4" s="244">
        <v>0</v>
      </c>
      <c r="AY4" s="212"/>
      <c r="AZ4" s="243">
        <f>128674211*(1-AY6)</f>
        <v>122240500.44999999</v>
      </c>
      <c r="BA4" s="107" t="s">
        <v>172</v>
      </c>
      <c r="BI4" s="242">
        <v>0.3</v>
      </c>
      <c r="BO4" s="240">
        <f>$BJ$49+AZ6</f>
        <v>8594614.505890118</v>
      </c>
      <c r="BP4" s="239"/>
      <c r="BQ4" s="239"/>
      <c r="BR4" s="239"/>
      <c r="BS4" s="239"/>
      <c r="BT4" s="239"/>
      <c r="BU4" s="241">
        <v>0.3</v>
      </c>
      <c r="BV4" s="239"/>
      <c r="BW4" s="239"/>
      <c r="BX4" s="239"/>
      <c r="BY4" s="239"/>
      <c r="BZ4" s="239"/>
    </row>
    <row r="5" spans="1:79" ht="15" customHeight="1" thickBot="1">
      <c r="A5" s="230" t="s">
        <v>197</v>
      </c>
      <c r="G5" s="362"/>
      <c r="BO5" s="232" t="s">
        <v>170</v>
      </c>
      <c r="BP5" s="232" t="s">
        <v>171</v>
      </c>
      <c r="BQ5" s="232" t="s">
        <v>198</v>
      </c>
    </row>
    <row r="6" spans="1:79" s="212" customFormat="1">
      <c r="A6" s="363"/>
      <c r="B6" s="364"/>
      <c r="C6" s="226" t="s">
        <v>164</v>
      </c>
      <c r="D6" s="225"/>
      <c r="E6" s="225"/>
      <c r="F6" s="225"/>
      <c r="G6" s="224"/>
      <c r="H6" s="365"/>
      <c r="J6" s="221" t="s">
        <v>163</v>
      </c>
      <c r="K6" s="220"/>
      <c r="L6" s="220"/>
      <c r="M6" s="220"/>
      <c r="N6" s="220"/>
      <c r="O6" s="220"/>
      <c r="P6" s="222"/>
      <c r="Q6" s="221" t="s">
        <v>162</v>
      </c>
      <c r="R6" s="220"/>
      <c r="S6" s="220"/>
      <c r="T6" s="220"/>
      <c r="U6" s="220"/>
      <c r="V6" s="220"/>
      <c r="W6" s="222"/>
      <c r="X6" s="221" t="s">
        <v>161</v>
      </c>
      <c r="Y6" s="220"/>
      <c r="Z6" s="220"/>
      <c r="AA6" s="220"/>
      <c r="AB6" s="220"/>
      <c r="AC6" s="220"/>
      <c r="AD6" s="222"/>
      <c r="AE6" s="221" t="s">
        <v>160</v>
      </c>
      <c r="AF6" s="220"/>
      <c r="AG6" s="220"/>
      <c r="AH6" s="220"/>
      <c r="AI6" s="220"/>
      <c r="AJ6" s="220"/>
      <c r="AK6" s="222"/>
      <c r="AL6" s="221" t="s">
        <v>159</v>
      </c>
      <c r="AM6" s="220"/>
      <c r="AN6" s="220"/>
      <c r="AO6" s="220"/>
      <c r="AP6" s="220"/>
      <c r="AQ6" s="220"/>
      <c r="AR6" s="222"/>
      <c r="AX6" s="366" t="s">
        <v>166</v>
      </c>
      <c r="AY6" s="367">
        <v>0.05</v>
      </c>
      <c r="AZ6" s="219">
        <f>128674211*AY6</f>
        <v>6433710.5500000007</v>
      </c>
      <c r="BA6" s="219"/>
      <c r="BB6" s="219"/>
      <c r="BC6" s="219"/>
      <c r="BD6" s="219"/>
      <c r="BG6" s="218"/>
      <c r="BO6" s="368">
        <v>0.25</v>
      </c>
      <c r="BP6" s="368">
        <v>0.25</v>
      </c>
      <c r="BQ6" s="368">
        <v>0.5</v>
      </c>
      <c r="BR6" s="217"/>
      <c r="BS6" s="217"/>
      <c r="BT6" s="217"/>
      <c r="BU6" s="217"/>
      <c r="BV6" s="217"/>
      <c r="BW6" s="217"/>
      <c r="BX6" s="217"/>
      <c r="BY6" s="217"/>
      <c r="BZ6" s="217"/>
    </row>
    <row r="7" spans="1:79" s="212" customFormat="1" ht="15" thickBot="1">
      <c r="A7" s="369"/>
      <c r="B7" s="370" t="s">
        <v>199</v>
      </c>
      <c r="C7" s="214">
        <f>C$4</f>
        <v>0.35</v>
      </c>
      <c r="D7" s="214">
        <f>D$4</f>
        <v>0.35</v>
      </c>
      <c r="E7" s="214">
        <f>E$4</f>
        <v>0.15</v>
      </c>
      <c r="F7" s="214">
        <f>F$4</f>
        <v>0.15</v>
      </c>
      <c r="G7" s="214"/>
      <c r="H7" s="371"/>
      <c r="J7" s="209" t="s">
        <v>157</v>
      </c>
      <c r="K7" s="208"/>
      <c r="L7" s="208"/>
      <c r="M7" s="208"/>
      <c r="N7" s="208"/>
      <c r="O7" s="208"/>
      <c r="P7" s="210"/>
      <c r="Q7" s="209" t="s">
        <v>156</v>
      </c>
      <c r="R7" s="208"/>
      <c r="S7" s="208"/>
      <c r="T7" s="208"/>
      <c r="U7" s="208"/>
      <c r="V7" s="208"/>
      <c r="W7" s="210"/>
      <c r="X7" s="209" t="s">
        <v>155</v>
      </c>
      <c r="Y7" s="208"/>
      <c r="Z7" s="208"/>
      <c r="AA7" s="208"/>
      <c r="AB7" s="208"/>
      <c r="AC7" s="208"/>
      <c r="AD7" s="210"/>
      <c r="AE7" s="209" t="s">
        <v>154</v>
      </c>
      <c r="AF7" s="208"/>
      <c r="AG7" s="208"/>
      <c r="AH7" s="208"/>
      <c r="AI7" s="208"/>
      <c r="AJ7" s="208"/>
      <c r="AK7" s="210"/>
      <c r="AL7" s="209" t="s">
        <v>153</v>
      </c>
      <c r="AM7" s="208"/>
      <c r="AN7" s="208"/>
      <c r="AO7" s="208"/>
      <c r="AP7" s="208"/>
      <c r="AQ7" s="208"/>
      <c r="AR7" s="210"/>
      <c r="BG7" s="372" t="s">
        <v>200</v>
      </c>
      <c r="BO7" s="372" t="s">
        <v>201</v>
      </c>
      <c r="BP7" s="372"/>
      <c r="BQ7" s="372"/>
      <c r="BR7" s="372"/>
      <c r="BS7" s="372"/>
      <c r="BT7" s="372"/>
      <c r="BU7" s="372"/>
      <c r="BV7" s="372"/>
      <c r="BW7" s="372"/>
      <c r="BX7" s="372"/>
      <c r="BY7" s="372"/>
      <c r="BZ7" s="372"/>
    </row>
    <row r="8" spans="1:79" s="184" customFormat="1" ht="101.25" customHeight="1">
      <c r="A8" s="373" t="s">
        <v>41</v>
      </c>
      <c r="B8" s="374" t="s">
        <v>202</v>
      </c>
      <c r="C8" s="204" t="s">
        <v>203</v>
      </c>
      <c r="D8" s="203" t="s">
        <v>204</v>
      </c>
      <c r="E8" s="203" t="s">
        <v>205</v>
      </c>
      <c r="F8" s="203" t="s">
        <v>206</v>
      </c>
      <c r="G8" s="203" t="s">
        <v>146</v>
      </c>
      <c r="H8" s="375" t="s">
        <v>145</v>
      </c>
      <c r="J8" s="199">
        <v>2019</v>
      </c>
      <c r="K8" s="199">
        <v>2021</v>
      </c>
      <c r="L8" s="199">
        <v>2022</v>
      </c>
      <c r="M8" s="199">
        <v>2023</v>
      </c>
      <c r="N8" s="198" t="s">
        <v>144</v>
      </c>
      <c r="O8" s="198" t="s">
        <v>143</v>
      </c>
      <c r="P8" s="200" t="s">
        <v>134</v>
      </c>
      <c r="Q8" s="199">
        <v>2019</v>
      </c>
      <c r="R8" s="199">
        <v>2021</v>
      </c>
      <c r="S8" s="199">
        <v>2022</v>
      </c>
      <c r="T8" s="199">
        <v>2023</v>
      </c>
      <c r="U8" s="198" t="s">
        <v>142</v>
      </c>
      <c r="V8" s="198" t="s">
        <v>141</v>
      </c>
      <c r="W8" s="200" t="s">
        <v>134</v>
      </c>
      <c r="X8" s="199">
        <v>2019</v>
      </c>
      <c r="Y8" s="199">
        <v>2021</v>
      </c>
      <c r="Z8" s="199">
        <v>2022</v>
      </c>
      <c r="AA8" s="199">
        <v>2023</v>
      </c>
      <c r="AB8" s="198" t="s">
        <v>140</v>
      </c>
      <c r="AC8" s="198" t="s">
        <v>139</v>
      </c>
      <c r="AD8" s="200" t="s">
        <v>134</v>
      </c>
      <c r="AE8" s="199">
        <v>2019</v>
      </c>
      <c r="AF8" s="199">
        <v>2021</v>
      </c>
      <c r="AG8" s="199">
        <v>2022</v>
      </c>
      <c r="AH8" s="199">
        <v>2023</v>
      </c>
      <c r="AI8" s="198" t="s">
        <v>138</v>
      </c>
      <c r="AJ8" s="198" t="s">
        <v>137</v>
      </c>
      <c r="AK8" s="200" t="s">
        <v>134</v>
      </c>
      <c r="AL8" s="199">
        <v>2019</v>
      </c>
      <c r="AM8" s="199">
        <v>2021</v>
      </c>
      <c r="AN8" s="199">
        <v>2022</v>
      </c>
      <c r="AO8" s="199">
        <v>2023</v>
      </c>
      <c r="AP8" s="198" t="s">
        <v>136</v>
      </c>
      <c r="AQ8" s="198" t="s">
        <v>135</v>
      </c>
      <c r="AR8" s="200" t="s">
        <v>134</v>
      </c>
      <c r="AT8" s="376" t="s">
        <v>133</v>
      </c>
      <c r="AU8" s="195" t="s">
        <v>132</v>
      </c>
      <c r="AV8" s="195" t="s">
        <v>131</v>
      </c>
      <c r="AW8" s="195" t="s">
        <v>130</v>
      </c>
      <c r="AX8" s="377" t="s">
        <v>129</v>
      </c>
      <c r="AZ8" s="378" t="s">
        <v>128</v>
      </c>
      <c r="BA8" s="192" t="s">
        <v>127</v>
      </c>
      <c r="BB8" s="192" t="s">
        <v>126</v>
      </c>
      <c r="BC8" s="192" t="s">
        <v>125</v>
      </c>
      <c r="BD8" s="192" t="s">
        <v>124</v>
      </c>
      <c r="BE8" s="379" t="s">
        <v>207</v>
      </c>
      <c r="BG8" s="380" t="s">
        <v>109</v>
      </c>
      <c r="BH8" s="186" t="s">
        <v>108</v>
      </c>
      <c r="BI8" s="186" t="s">
        <v>107</v>
      </c>
      <c r="BJ8" s="185" t="s">
        <v>106</v>
      </c>
      <c r="BL8" s="547" t="s">
        <v>122</v>
      </c>
      <c r="BM8" s="547" t="s">
        <v>121</v>
      </c>
      <c r="BN8" s="547" t="s">
        <v>120</v>
      </c>
      <c r="BO8" s="557" t="s">
        <v>105</v>
      </c>
      <c r="BP8" s="559" t="s">
        <v>208</v>
      </c>
      <c r="BQ8" s="187" t="s">
        <v>209</v>
      </c>
      <c r="BR8" s="187" t="s">
        <v>210</v>
      </c>
      <c r="BS8" s="187" t="s">
        <v>211</v>
      </c>
      <c r="BT8" s="187" t="s">
        <v>110</v>
      </c>
      <c r="BU8" s="187" t="s">
        <v>115</v>
      </c>
      <c r="BV8" s="560" t="s">
        <v>114</v>
      </c>
      <c r="BW8" s="560" t="s">
        <v>113</v>
      </c>
      <c r="BX8" s="187" t="s">
        <v>112</v>
      </c>
      <c r="BY8" s="187" t="s">
        <v>111</v>
      </c>
      <c r="BZ8" s="561" t="s">
        <v>110</v>
      </c>
    </row>
    <row r="9" spans="1:79">
      <c r="A9" s="381" t="s">
        <v>49</v>
      </c>
      <c r="B9" s="382" t="s">
        <v>60</v>
      </c>
      <c r="C9" s="179">
        <f>'Sizing - Reim Expen_FY2025'!B3</f>
        <v>2496704</v>
      </c>
      <c r="D9" s="178">
        <f>Ridership_FY2025!$E3</f>
        <v>121717</v>
      </c>
      <c r="E9" s="178">
        <f>'Revenue Hours_FY2025'!$E3</f>
        <v>32940</v>
      </c>
      <c r="F9" s="178">
        <f>'Revenue Miles_FY2025'!$E3</f>
        <v>692104</v>
      </c>
      <c r="G9" s="383">
        <f t="shared" ref="G9:G31" si="0">IFERROR($C$7*(C9/C$49),0) + IFERROR($D$7*(D9/D$49),0) + IFERROR($E$7*(E9/E$49),0) + IFERROR($F$7*(F9/F$49),0)</f>
        <v>5.3033180765238389E-3</v>
      </c>
      <c r="H9" s="384">
        <f t="shared" ref="H9:H31" si="1">G9/(SUM($G$9:$G$48)-$G$32)*(1-$G$32)</f>
        <v>5.3033180765238398E-3</v>
      </c>
      <c r="J9" s="385">
        <f>Ridership_FY2025!B3/'Revenue Hours_FY2025'!B3</f>
        <v>4.5693508022964817</v>
      </c>
      <c r="K9" s="386">
        <f>Ridership_FY2025!C3/'Revenue Hours_FY2025'!C3</f>
        <v>3.0233116215289679</v>
      </c>
      <c r="L9" s="386">
        <f>Ridership_FY2025!D3/'Revenue Hours_FY2025'!D3</f>
        <v>3.1691372472531043</v>
      </c>
      <c r="M9" s="386">
        <f>Ridership_FY2025!E3/'Revenue Hours_FY2025'!E3</f>
        <v>3.6951123254401943</v>
      </c>
      <c r="N9" s="387">
        <f t="shared" ref="N9:N48" si="2">IF(J9=0,IF(K9=0,1,AVERAGE(1,(L9/K9)/($L$49/$K$49),(M9/L9)/($M$49/$L$49))), AVERAGE((K9/J9)/($K$49/$J$49),(L9/K9)/($L$49/$K$49),(M9/L9)/($M$49/$L$49)))</f>
        <v>1.0255640826158483</v>
      </c>
      <c r="O9" s="388">
        <f t="shared" ref="O9:O48" si="3">$H9*N9</f>
        <v>5.4388925379702168E-3</v>
      </c>
      <c r="P9" s="389">
        <f t="shared" ref="P9:P48" si="4">O9/SUM($O$9:$O$48)</f>
        <v>5.1378596170449219E-3</v>
      </c>
      <c r="Q9" s="385">
        <f>Ridership_FY2025!B3/'Revenue Miles_FY2025'!B3</f>
        <v>0.21529352848722441</v>
      </c>
      <c r="R9" s="386">
        <f>Ridership_FY2025!C3/'Revenue Miles_FY2025'!C3</f>
        <v>0.1472857600940598</v>
      </c>
      <c r="S9" s="386">
        <f>Ridership_FY2025!D3/'Revenue Miles_FY2025'!D3</f>
        <v>0.15372497942218116</v>
      </c>
      <c r="T9" s="386">
        <f>Ridership_FY2025!E3/'Revenue Miles_FY2025'!E3</f>
        <v>0.17586518789083722</v>
      </c>
      <c r="U9" s="387">
        <f t="shared" ref="U9:U48" si="5">IF(Q9=0,IF(R9=0,1,AVERAGE(1,(S9/R9)/($S$49/$R$49),(T9/S9)/($T$49/$S$49))), AVERAGE((R9/Q9)/($R$49/$Q$49),(S9/R9)/($S$49/$R$49),(T9/S9)/($T$49/$S$49)))</f>
        <v>1.0325415201368429</v>
      </c>
      <c r="V9" s="388">
        <f t="shared" ref="V9:V48" si="6">$H9*U9</f>
        <v>5.4758961085031232E-3</v>
      </c>
      <c r="W9" s="389">
        <f t="shared" ref="W9:W48" si="7">V9/SUM($V$9:$V$48)</f>
        <v>5.1919663924141386E-3</v>
      </c>
      <c r="X9" s="385">
        <f>'Op Cost_FY2025'!B3/'Revenue Hours_FY2025'!B3</f>
        <v>50.181245399676136</v>
      </c>
      <c r="Y9" s="386">
        <f>'Op Cost_FY2025'!C3/'Revenue Hours_FY2025'!C3</f>
        <v>64.628076791223862</v>
      </c>
      <c r="Z9" s="386">
        <f>'Op Cost_FY2025'!D3/'Revenue Hours_FY2025'!D3</f>
        <v>74.945094597230351</v>
      </c>
      <c r="AA9" s="386">
        <f>'Op Cost_FY2025'!E3/'Revenue Hours_FY2025'!E3</f>
        <v>75.894444444444446</v>
      </c>
      <c r="AB9" s="387">
        <f t="shared" ref="AB9:AB48" si="8">IF(X9=0,IF(Y9=0,1,AVERAGE(1,(Z9/Y9)/($Z$49/$Z$49),(AA9/Z9)/($AA$49/$Z$49))), AVERAGE((Y9/X9)/($Y$49/$X$49),(Z9/Y9)/($Z$49/$Y$49),(AA9/Z9)/($AA$49/$Z$49)))</f>
        <v>1.0999423299281934</v>
      </c>
      <c r="AC9" s="388">
        <f t="shared" ref="AC9:AC48" si="9">$H9*(1/AB9)</f>
        <v>4.8214510272279925E-3</v>
      </c>
      <c r="AD9" s="389">
        <f t="shared" ref="AD9:AD48" si="10">AC9/SUM($AC$9:$AC$48)</f>
        <v>5.1433267888498797E-3</v>
      </c>
      <c r="AE9" s="385">
        <f>'Op Cost_FY2025'!B3/'Revenue Miles_FY2025'!B3</f>
        <v>2.3643834438252824</v>
      </c>
      <c r="AF9" s="386">
        <f>'Op Cost_FY2025'!C3/'Revenue Miles_FY2025'!C3</f>
        <v>3.148466517916789</v>
      </c>
      <c r="AG9" s="386">
        <f>'Op Cost_FY2025'!D3/'Revenue Miles_FY2025'!D3</f>
        <v>3.6353531658304137</v>
      </c>
      <c r="AH9" s="386">
        <f>'Op Cost_FY2025'!E3/'Revenue Miles_FY2025'!E3</f>
        <v>3.61212043276733</v>
      </c>
      <c r="AI9" s="387">
        <f t="shared" ref="AI9:AI48" si="11">IF(AE9=0,IF(AF9=0,1,AVERAGE(1,(AG9/AF9)/($AG$49/$AF$49),(AH9/AG9)/($AH$49/$AG$49))), AVERAGE((AF9/AE9)/($AF$49/$AE$49),(AG9/AF9)/($AG$49/$AF$49),(AH9/AG9)/($AH$49/$AG$49)))</f>
        <v>1.1070146946084785</v>
      </c>
      <c r="AJ9" s="388">
        <f t="shared" ref="AJ9:AJ48" si="12">$H9*(1/AI9)</f>
        <v>4.7906483105894827E-3</v>
      </c>
      <c r="AK9" s="389">
        <f t="shared" ref="AK9:AK48" si="13">AJ9/SUM($AJ$9:$AJ$48)</f>
        <v>5.0984526209211112E-3</v>
      </c>
      <c r="AL9" s="385">
        <f>'Op Cost_FY2025'!B3/Ridership_FY2025!B3</f>
        <v>10.982138945089499</v>
      </c>
      <c r="AM9" s="386">
        <f>'Op Cost_FY2025'!C3/Ridership_FY2025!C3</f>
        <v>21.37658464678535</v>
      </c>
      <c r="AN9" s="386">
        <f>'Op Cost_FY2025'!D3/Ridership_FY2025!D3</f>
        <v>23.64842187323698</v>
      </c>
      <c r="AO9" s="386">
        <f>'Op Cost_FY2025'!E3/Ridership_FY2025!E3</f>
        <v>20.53914408012028</v>
      </c>
      <c r="AP9" s="390">
        <f t="shared" ref="AP9:AP48" si="14">IF(AL9=0,IF(AM9=0,1,AVERAGE(1,(AN9/AM9)/($AN$49/$AM$49),(AO9/AN9)/($AO$49/$AN$49))), AVERAGE((AM9/AL9)/($AM$49/$AL$49),(AN9/AM9)/($AN$49/$AM$49),(AO9/AN9)/($AO$49/$AN$49)))</f>
        <v>1.1189482347230808</v>
      </c>
      <c r="AQ9" s="388">
        <f t="shared" ref="AQ9:AQ48" si="15">$H9*(1/AP9)</f>
        <v>4.7395562296376594E-3</v>
      </c>
      <c r="AR9" s="389">
        <f t="shared" ref="AR9:AR48" si="16">AQ9/SUM($AQ$9:$AQ$48)</f>
        <v>5.1458746085332636E-3</v>
      </c>
      <c r="AT9" s="391">
        <f>P9*AT$4</f>
        <v>0</v>
      </c>
      <c r="AU9" s="392">
        <f t="shared" ref="AU9:AU48" si="17">W9*AU$4</f>
        <v>0</v>
      </c>
      <c r="AV9" s="392">
        <f t="shared" ref="AV9:AV48" si="18">AD9*AV$4</f>
        <v>0</v>
      </c>
      <c r="AW9" s="392">
        <f t="shared" ref="AW9:AW48" si="19">AK9*AW$4</f>
        <v>0</v>
      </c>
      <c r="AX9" s="393">
        <f t="shared" ref="AX9:AX48" si="20">AR9*AX$4</f>
        <v>0</v>
      </c>
      <c r="AY9" s="148">
        <f>(SUM(AT9:AX9)-H9)/H9</f>
        <v>-1</v>
      </c>
      <c r="AZ9" s="394">
        <f t="shared" ref="AZ9:BD49" si="21">AT9*$AZ$4</f>
        <v>0</v>
      </c>
      <c r="BA9" s="395">
        <f t="shared" si="21"/>
        <v>0</v>
      </c>
      <c r="BB9" s="395">
        <f t="shared" si="21"/>
        <v>0</v>
      </c>
      <c r="BC9" s="395">
        <f t="shared" si="21"/>
        <v>0</v>
      </c>
      <c r="BD9" s="395">
        <f t="shared" si="21"/>
        <v>0</v>
      </c>
      <c r="BE9" s="396">
        <f>$AZ$4*H9</f>
        <v>648280.25571980549</v>
      </c>
      <c r="BG9" s="397">
        <f>'Op Cost_FY2025'!E3</f>
        <v>2499963</v>
      </c>
      <c r="BH9" s="398">
        <f t="shared" ref="BH9:BH48" si="22">BE9/BG9</f>
        <v>0.25931594016383663</v>
      </c>
      <c r="BI9" s="399">
        <f t="shared" ref="BI9:BI48" si="23">IF(BE9&gt;BG9*$BI$4,BG9*$BI$4,BE9)</f>
        <v>648280.25571980549</v>
      </c>
      <c r="BJ9" s="400">
        <f t="shared" ref="BJ9:BJ48" si="24">BE9-BI9</f>
        <v>0</v>
      </c>
      <c r="BL9" s="548">
        <f>M9/$M$49</f>
        <v>0.34517483234349511</v>
      </c>
      <c r="BM9" s="548">
        <f>T9/$T$49</f>
        <v>0.2370362312234541</v>
      </c>
      <c r="BN9" s="549">
        <f>(1/AO9)/(1/$AO$49)</f>
        <v>0.53442132851750412</v>
      </c>
      <c r="BO9" s="554">
        <f t="shared" ref="BO9:BO48" si="25">IF(OR(BJ9&gt;0,BH9&gt;=0.294),0,BI9)</f>
        <v>648280.25571980549</v>
      </c>
      <c r="BP9" s="562">
        <f>BL9*$BO$6+BM9*$BP$6+BN9*$BQ$6</f>
        <v>0.41276343015048933</v>
      </c>
      <c r="BQ9" s="552">
        <f>BP9*H9</f>
        <v>2.1890157604450753E-3</v>
      </c>
      <c r="BR9" s="402">
        <f>IF(BO9=0,0,BQ9)</f>
        <v>2.1890157604450753E-3</v>
      </c>
      <c r="BS9" s="553">
        <f>BR9/$BR$49</f>
        <v>2.4703689027630671E-3</v>
      </c>
      <c r="BT9" s="556">
        <f>$BO$4*BS9+BI9</f>
        <v>669512.12412639277</v>
      </c>
      <c r="BU9" s="540">
        <f>BG9*$BU$4</f>
        <v>749988.9</v>
      </c>
      <c r="BV9" s="540">
        <f>IF(BT9&lt;BU9,BT9, BU9)</f>
        <v>669512.12412639277</v>
      </c>
      <c r="BW9" s="540">
        <f>BT9-BV9</f>
        <v>0</v>
      </c>
      <c r="BX9" s="541">
        <f>IF(AND(BW9=0, BJ9=0),BQ9,0)</f>
        <v>2.1890157604450753E-3</v>
      </c>
      <c r="BY9" s="542">
        <f>IF($BX$49=0,1, BX9/$BX$49)</f>
        <v>4.4065357690345518E-3</v>
      </c>
      <c r="BZ9" s="563">
        <f>$BW$49*BY9+BV9</f>
        <v>673452.9504600591</v>
      </c>
      <c r="CA9" s="114"/>
    </row>
    <row r="10" spans="1:79">
      <c r="A10" s="403" t="s">
        <v>49</v>
      </c>
      <c r="B10" s="382" t="s">
        <v>61</v>
      </c>
      <c r="C10" s="179">
        <f>'Sizing - Reim Expen_FY2025'!B4</f>
        <v>397573</v>
      </c>
      <c r="D10" s="178">
        <f>Ridership_FY2025!$E4</f>
        <v>43762</v>
      </c>
      <c r="E10" s="178">
        <f>'Revenue Hours_FY2025'!$E4</f>
        <v>7886</v>
      </c>
      <c r="F10" s="178">
        <f>'Revenue Miles_FY2025'!$E4</f>
        <v>94333</v>
      </c>
      <c r="G10" s="404">
        <f t="shared" si="0"/>
        <v>1.0755177539715083E-3</v>
      </c>
      <c r="H10" s="384">
        <f t="shared" si="1"/>
        <v>1.0755177539715085E-3</v>
      </c>
      <c r="J10" s="385">
        <f>Ridership_FY2025!B4/'Revenue Hours_FY2025'!B4</f>
        <v>7.0756269072575293</v>
      </c>
      <c r="K10" s="386">
        <f>Ridership_FY2025!C4/'Revenue Hours_FY2025'!C4</f>
        <v>3.8435006435006436</v>
      </c>
      <c r="L10" s="386">
        <f>Ridership_FY2025!D4/'Revenue Hours_FY2025'!D4</f>
        <v>4.8354101054361225</v>
      </c>
      <c r="M10" s="386">
        <f>Ridership_FY2025!E4/'Revenue Hours_FY2025'!E4</f>
        <v>5.5493279229013446</v>
      </c>
      <c r="N10" s="387">
        <f t="shared" si="2"/>
        <v>0.99788982541066573</v>
      </c>
      <c r="O10" s="388">
        <f t="shared" si="3"/>
        <v>1.0732482237366999E-3</v>
      </c>
      <c r="P10" s="389">
        <f t="shared" si="4"/>
        <v>1.0138458646325582E-3</v>
      </c>
      <c r="Q10" s="385">
        <f>Ridership_FY2025!B4/'Revenue Miles_FY2025'!B4</f>
        <v>0.61203433791631279</v>
      </c>
      <c r="R10" s="386">
        <f>Ridership_FY2025!C4/'Revenue Miles_FY2025'!C4</f>
        <v>0.31931227680003421</v>
      </c>
      <c r="S10" s="386">
        <f>Ridership_FY2025!D4/'Revenue Miles_FY2025'!D4</f>
        <v>0.41985803797543603</v>
      </c>
      <c r="T10" s="386">
        <f>Ridership_FY2025!E4/'Revenue Miles_FY2025'!E4</f>
        <v>0.46390976646560589</v>
      </c>
      <c r="U10" s="387">
        <f t="shared" si="5"/>
        <v>0.98970909906924531</v>
      </c>
      <c r="V10" s="388">
        <f t="shared" si="6"/>
        <v>1.0644497073161198E-3</v>
      </c>
      <c r="W10" s="389">
        <f t="shared" si="7"/>
        <v>1.0092571146882285E-3</v>
      </c>
      <c r="X10" s="385">
        <f>'Op Cost_FY2025'!B4/'Revenue Hours_FY2025'!B4</f>
        <v>54.185219583388616</v>
      </c>
      <c r="Y10" s="386">
        <f>'Op Cost_FY2025'!C4/'Revenue Hours_FY2025'!C4</f>
        <v>108.14491634491634</v>
      </c>
      <c r="Z10" s="386">
        <f>'Op Cost_FY2025'!D4/'Revenue Hours_FY2025'!D4</f>
        <v>62.039983568396551</v>
      </c>
      <c r="AA10" s="386">
        <f>'Op Cost_FY2025'!E4/'Revenue Hours_FY2025'!E4</f>
        <v>50.572406796855184</v>
      </c>
      <c r="AB10" s="387">
        <f t="shared" si="8"/>
        <v>1.0275887811661744</v>
      </c>
      <c r="AC10" s="388">
        <f t="shared" si="9"/>
        <v>1.0466421721254501E-3</v>
      </c>
      <c r="AD10" s="389">
        <f t="shared" si="10"/>
        <v>1.1165150681469937E-3</v>
      </c>
      <c r="AE10" s="385">
        <f>'Op Cost_FY2025'!B4/'Revenue Miles_FY2025'!B4</f>
        <v>4.6869649046296509</v>
      </c>
      <c r="AF10" s="386">
        <f>'Op Cost_FY2025'!C4/'Revenue Miles_FY2025'!C4</f>
        <v>8.9845176742296253</v>
      </c>
      <c r="AG10" s="386">
        <f>'Op Cost_FY2025'!D4/'Revenue Miles_FY2025'!D4</f>
        <v>5.3869237994459436</v>
      </c>
      <c r="AH10" s="386">
        <f>'Op Cost_FY2025'!E4/'Revenue Miles_FY2025'!E4</f>
        <v>4.2277251863080787</v>
      </c>
      <c r="AI10" s="387">
        <f t="shared" si="11"/>
        <v>1.0006231580562883</v>
      </c>
      <c r="AJ10" s="388">
        <f t="shared" si="12"/>
        <v>1.0748479538098068E-3</v>
      </c>
      <c r="AK10" s="389">
        <f t="shared" si="13"/>
        <v>1.1439080917461438E-3</v>
      </c>
      <c r="AL10" s="385">
        <f>'Op Cost_FY2025'!B4/Ridership_FY2025!B4</f>
        <v>7.6580097132892044</v>
      </c>
      <c r="AM10" s="386">
        <f>'Op Cost_FY2025'!C4/Ridership_FY2025!C4</f>
        <v>28.137088132869007</v>
      </c>
      <c r="AN10" s="386">
        <f>'Op Cost_FY2025'!D4/Ridership_FY2025!D4</f>
        <v>12.830345765015716</v>
      </c>
      <c r="AO10" s="386">
        <f>'Op Cost_FY2025'!E4/Ridership_FY2025!E4</f>
        <v>9.1132489374343031</v>
      </c>
      <c r="AP10" s="390">
        <f t="shared" si="14"/>
        <v>1.0148372723489094</v>
      </c>
      <c r="AQ10" s="388">
        <f t="shared" si="15"/>
        <v>1.0597933119682824E-3</v>
      </c>
      <c r="AR10" s="389">
        <f t="shared" si="16"/>
        <v>1.1506485481168945E-3</v>
      </c>
      <c r="AT10" s="391">
        <f t="shared" ref="AT10:AT48" si="26">P10*AT$4</f>
        <v>0</v>
      </c>
      <c r="AU10" s="392">
        <f t="shared" si="17"/>
        <v>0</v>
      </c>
      <c r="AV10" s="392">
        <f t="shared" si="18"/>
        <v>0</v>
      </c>
      <c r="AW10" s="392">
        <f t="shared" si="19"/>
        <v>0</v>
      </c>
      <c r="AX10" s="393">
        <f t="shared" si="20"/>
        <v>0</v>
      </c>
      <c r="AY10" s="148">
        <f t="shared" ref="AY10:AY48" si="27">(SUM(AT10:AX10)-H10)/H10</f>
        <v>-1</v>
      </c>
      <c r="AZ10" s="394">
        <f t="shared" si="21"/>
        <v>0</v>
      </c>
      <c r="BA10" s="395">
        <f t="shared" si="21"/>
        <v>0</v>
      </c>
      <c r="BB10" s="395">
        <f t="shared" si="21"/>
        <v>0</v>
      </c>
      <c r="BC10" s="395">
        <f t="shared" si="21"/>
        <v>0</v>
      </c>
      <c r="BD10" s="395">
        <f t="shared" si="21"/>
        <v>0</v>
      </c>
      <c r="BE10" s="396">
        <f t="shared" ref="BE10:BE47" si="28">$AZ$4*H10</f>
        <v>131471.82848833717</v>
      </c>
      <c r="BG10" s="397">
        <f>'Op Cost_FY2025'!E4</f>
        <v>398814</v>
      </c>
      <c r="BH10" s="398">
        <f t="shared" si="22"/>
        <v>0.32965700423840982</v>
      </c>
      <c r="BI10" s="399">
        <f t="shared" si="23"/>
        <v>119644.2</v>
      </c>
      <c r="BJ10" s="400">
        <f t="shared" si="24"/>
        <v>11827.62848833717</v>
      </c>
      <c r="BL10" s="548">
        <f t="shared" ref="BL10:BL48" si="29">M10/$M$49</f>
        <v>0.51838433224850822</v>
      </c>
      <c r="BM10" s="548">
        <f t="shared" ref="BM10:BM48" si="30">T10/$T$49</f>
        <v>0.62527111811927383</v>
      </c>
      <c r="BN10" s="549">
        <f t="shared" ref="BN10:BN48" si="31">(1/AO10)/(1/$AO$49)</f>
        <v>1.2044614101149083</v>
      </c>
      <c r="BO10" s="554">
        <f t="shared" si="25"/>
        <v>0</v>
      </c>
      <c r="BP10" s="562">
        <f t="shared" ref="BP10:BP48" si="32">BL10*$BO$6+BM10*$BP$6+BN10*$BQ$6</f>
        <v>0.88814456764939964</v>
      </c>
      <c r="BQ10" s="552">
        <f t="shared" ref="BQ10:BQ48" si="33">BP10*H10</f>
        <v>9.5521525060027874E-4</v>
      </c>
      <c r="BR10" s="402">
        <f t="shared" ref="BR10:BR48" si="34">IF(BO10=0,0,BQ10)</f>
        <v>0</v>
      </c>
      <c r="BS10" s="553">
        <f t="shared" ref="BS10:BS48" si="35">BR10/$BR$49</f>
        <v>0</v>
      </c>
      <c r="BT10" s="556">
        <f t="shared" ref="BT10:BT48" si="36">$BO$4*BS10+BI10</f>
        <v>119644.2</v>
      </c>
      <c r="BU10" s="540">
        <f t="shared" ref="BU10:BU48" si="37">BG10*$BU$4</f>
        <v>119644.2</v>
      </c>
      <c r="BV10" s="540">
        <f t="shared" ref="BV10:BV48" si="38">IF(BT10&lt;BU10,BT10, BU10)</f>
        <v>119644.2</v>
      </c>
      <c r="BW10" s="540">
        <f t="shared" ref="BW10:BW48" si="39">BT10-BV10</f>
        <v>0</v>
      </c>
      <c r="BX10" s="541">
        <f t="shared" ref="BX10:BX48" si="40">IF(AND(BW10=0, BJ10=0),BQ10,0)</f>
        <v>0</v>
      </c>
      <c r="BY10" s="542">
        <f t="shared" ref="BY10:BY48" si="41">IF($BX$49=0,1, BX10/$BX$49)</f>
        <v>0</v>
      </c>
      <c r="BZ10" s="563">
        <f t="shared" ref="BZ10:BZ48" si="42">$BW$49*BY10+BV10</f>
        <v>119644.2</v>
      </c>
      <c r="CA10" s="114"/>
    </row>
    <row r="11" spans="1:79">
      <c r="A11" s="403" t="s">
        <v>49</v>
      </c>
      <c r="B11" s="382" t="s">
        <v>62</v>
      </c>
      <c r="C11" s="179">
        <f>'Sizing - Reim Expen_FY2025'!B5</f>
        <v>2696243</v>
      </c>
      <c r="D11" s="178">
        <f>Ridership_FY2025!$E5</f>
        <v>162649</v>
      </c>
      <c r="E11" s="178">
        <f>'Revenue Hours_FY2025'!$E5</f>
        <v>46711</v>
      </c>
      <c r="F11" s="178">
        <f>'Revenue Miles_FY2025'!$E5</f>
        <v>490148</v>
      </c>
      <c r="G11" s="383">
        <f t="shared" si="0"/>
        <v>5.7217969398773178E-3</v>
      </c>
      <c r="H11" s="384">
        <f t="shared" si="1"/>
        <v>5.7217969398773187E-3</v>
      </c>
      <c r="J11" s="385">
        <f>Ridership_FY2025!B5/'Revenue Hours_FY2025'!B5</f>
        <v>3.5903165735567972</v>
      </c>
      <c r="K11" s="386">
        <f>Ridership_FY2025!C5/'Revenue Hours_FY2025'!C5</f>
        <v>3.0037184124655352</v>
      </c>
      <c r="L11" s="386">
        <f>Ridership_FY2025!D5/'Revenue Hours_FY2025'!D5</f>
        <v>3.0190503841343577</v>
      </c>
      <c r="M11" s="386">
        <f>Ridership_FY2025!E5/'Revenue Hours_FY2025'!E5</f>
        <v>3.4820277878872212</v>
      </c>
      <c r="N11" s="387">
        <f t="shared" si="2"/>
        <v>1.1244143405144138</v>
      </c>
      <c r="O11" s="388">
        <f t="shared" si="3"/>
        <v>6.4336705327095465E-3</v>
      </c>
      <c r="P11" s="389">
        <f t="shared" si="4"/>
        <v>6.0775784387379047E-3</v>
      </c>
      <c r="Q11" s="385">
        <f>Ridership_FY2025!B5/'Revenue Miles_FY2025'!B5</f>
        <v>0.34236028901498144</v>
      </c>
      <c r="R11" s="386">
        <f>Ridership_FY2025!C5/'Revenue Miles_FY2025'!C5</f>
        <v>0.30898734605406614</v>
      </c>
      <c r="S11" s="386">
        <f>Ridership_FY2025!D5/'Revenue Miles_FY2025'!D5</f>
        <v>0.30702858129224508</v>
      </c>
      <c r="T11" s="386">
        <f>Ridership_FY2025!E5/'Revenue Miles_FY2025'!E5</f>
        <v>0.33183650652455993</v>
      </c>
      <c r="U11" s="387">
        <f t="shared" si="5"/>
        <v>1.1412874554012273</v>
      </c>
      <c r="V11" s="388">
        <f t="shared" si="6"/>
        <v>6.5302150698351141E-3</v>
      </c>
      <c r="W11" s="389">
        <f t="shared" si="7"/>
        <v>6.1916180486280897E-3</v>
      </c>
      <c r="X11" s="385">
        <f>'Op Cost_FY2025'!B5/'Revenue Hours_FY2025'!B5</f>
        <v>45.864958582161435</v>
      </c>
      <c r="Y11" s="386">
        <f>'Op Cost_FY2025'!C5/'Revenue Hours_FY2025'!C5</f>
        <v>61.145979308425872</v>
      </c>
      <c r="Z11" s="386">
        <f>'Op Cost_FY2025'!D5/'Revenue Hours_FY2025'!D5</f>
        <v>58.62645167053779</v>
      </c>
      <c r="AA11" s="386">
        <f>'Op Cost_FY2025'!E5/'Revenue Hours_FY2025'!E5</f>
        <v>57.842499625355913</v>
      </c>
      <c r="AB11" s="387">
        <f t="shared" si="8"/>
        <v>1.0361763312133343</v>
      </c>
      <c r="AC11" s="388">
        <f t="shared" si="9"/>
        <v>5.5220301482637128E-3</v>
      </c>
      <c r="AD11" s="389">
        <f t="shared" si="10"/>
        <v>5.8906759458947416E-3</v>
      </c>
      <c r="AE11" s="385">
        <f>'Op Cost_FY2025'!B5/'Revenue Miles_FY2025'!B5</f>
        <v>4.3735253296321996</v>
      </c>
      <c r="AF11" s="386">
        <f>'Op Cost_FY2025'!C5/'Revenue Miles_FY2025'!C5</f>
        <v>6.2899817073329398</v>
      </c>
      <c r="AG11" s="386">
        <f>'Op Cost_FY2025'!D5/'Revenue Miles_FY2025'!D5</f>
        <v>5.9621384184897162</v>
      </c>
      <c r="AH11" s="386">
        <f>'Op Cost_FY2025'!E5/'Revenue Miles_FY2025'!E5</f>
        <v>5.5123778940238459</v>
      </c>
      <c r="AI11" s="387">
        <f t="shared" si="11"/>
        <v>1.0405282730301624</v>
      </c>
      <c r="AJ11" s="388">
        <f t="shared" si="12"/>
        <v>5.4989346163700622E-3</v>
      </c>
      <c r="AK11" s="389">
        <f t="shared" si="13"/>
        <v>5.8522470842064314E-3</v>
      </c>
      <c r="AL11" s="385">
        <f>'Op Cost_FY2025'!B5/Ridership_FY2025!B5</f>
        <v>12.774627986836457</v>
      </c>
      <c r="AM11" s="386">
        <f>'Op Cost_FY2025'!C5/Ridership_FY2025!C5</f>
        <v>20.356761490913378</v>
      </c>
      <c r="AN11" s="386">
        <f>'Op Cost_FY2025'!D5/Ridership_FY2025!D5</f>
        <v>19.418838446231348</v>
      </c>
      <c r="AO11" s="386">
        <f>'Op Cost_FY2025'!E5/Ridership_FY2025!E5</f>
        <v>16.611728322953109</v>
      </c>
      <c r="AP11" s="390">
        <f t="shared" si="14"/>
        <v>0.99855496234877406</v>
      </c>
      <c r="AQ11" s="388">
        <f t="shared" si="15"/>
        <v>5.7300771170558928E-3</v>
      </c>
      <c r="AR11" s="389">
        <f t="shared" si="16"/>
        <v>6.2213120623425197E-3</v>
      </c>
      <c r="AT11" s="391">
        <f t="shared" si="26"/>
        <v>0</v>
      </c>
      <c r="AU11" s="392">
        <f t="shared" si="17"/>
        <v>0</v>
      </c>
      <c r="AV11" s="392">
        <f t="shared" si="18"/>
        <v>0</v>
      </c>
      <c r="AW11" s="392">
        <f t="shared" si="19"/>
        <v>0</v>
      </c>
      <c r="AX11" s="393">
        <f t="shared" si="20"/>
        <v>0</v>
      </c>
      <c r="AY11" s="148">
        <f t="shared" si="27"/>
        <v>-1</v>
      </c>
      <c r="AZ11" s="394">
        <f t="shared" si="21"/>
        <v>0</v>
      </c>
      <c r="BA11" s="395">
        <f t="shared" si="21"/>
        <v>0</v>
      </c>
      <c r="BB11" s="395">
        <f t="shared" si="21"/>
        <v>0</v>
      </c>
      <c r="BC11" s="395">
        <f t="shared" si="21"/>
        <v>0</v>
      </c>
      <c r="BD11" s="395">
        <f t="shared" si="21"/>
        <v>0</v>
      </c>
      <c r="BE11" s="396">
        <f t="shared" si="28"/>
        <v>699435.32140388188</v>
      </c>
      <c r="BG11" s="397">
        <f>'Op Cost_FY2025'!E5</f>
        <v>2701881</v>
      </c>
      <c r="BH11" s="398">
        <f t="shared" si="22"/>
        <v>0.25886977309655085</v>
      </c>
      <c r="BI11" s="399">
        <f t="shared" si="23"/>
        <v>699435.32140388188</v>
      </c>
      <c r="BJ11" s="400">
        <f t="shared" si="24"/>
        <v>0</v>
      </c>
      <c r="BL11" s="548">
        <f t="shared" si="29"/>
        <v>0.32526977586701122</v>
      </c>
      <c r="BM11" s="548">
        <f t="shared" si="30"/>
        <v>0.44725892504526166</v>
      </c>
      <c r="BN11" s="549">
        <f t="shared" si="31"/>
        <v>0.66077150146643981</v>
      </c>
      <c r="BO11" s="554">
        <f t="shared" si="25"/>
        <v>699435.32140388188</v>
      </c>
      <c r="BP11" s="562">
        <f t="shared" si="32"/>
        <v>0.5235179259612881</v>
      </c>
      <c r="BQ11" s="552">
        <f t="shared" si="33"/>
        <v>2.9954632667362189E-3</v>
      </c>
      <c r="BR11" s="402">
        <f t="shared" si="34"/>
        <v>2.9954632667362189E-3</v>
      </c>
      <c r="BS11" s="553">
        <f t="shared" si="35"/>
        <v>3.3804687189687766E-3</v>
      </c>
      <c r="BT11" s="556">
        <f t="shared" si="36"/>
        <v>728489.14689263876</v>
      </c>
      <c r="BU11" s="540">
        <f t="shared" si="37"/>
        <v>810564.29999999993</v>
      </c>
      <c r="BV11" s="540">
        <f t="shared" si="38"/>
        <v>728489.14689263876</v>
      </c>
      <c r="BW11" s="540">
        <f t="shared" si="39"/>
        <v>0</v>
      </c>
      <c r="BX11" s="541">
        <f t="shared" si="40"/>
        <v>2.9954632667362189E-3</v>
      </c>
      <c r="BY11" s="542">
        <f t="shared" si="41"/>
        <v>6.029931930238118E-3</v>
      </c>
      <c r="BZ11" s="563">
        <f t="shared" si="42"/>
        <v>733881.79903173714</v>
      </c>
      <c r="CA11" s="114"/>
    </row>
    <row r="12" spans="1:79">
      <c r="A12" s="403" t="s">
        <v>49</v>
      </c>
      <c r="B12" s="382" t="s">
        <v>63</v>
      </c>
      <c r="C12" s="179">
        <f>'Sizing - Reim Expen_FY2025'!B6</f>
        <v>2111050</v>
      </c>
      <c r="D12" s="178">
        <f>Ridership_FY2025!$E6</f>
        <v>131743</v>
      </c>
      <c r="E12" s="178">
        <f>'Revenue Hours_FY2025'!$E6</f>
        <v>47343</v>
      </c>
      <c r="F12" s="178">
        <f>'Revenue Miles_FY2025'!$E6</f>
        <v>800372</v>
      </c>
      <c r="G12" s="383">
        <f t="shared" si="0"/>
        <v>5.8588613671572021E-3</v>
      </c>
      <c r="H12" s="384">
        <f t="shared" si="1"/>
        <v>5.858861367157203E-3</v>
      </c>
      <c r="J12" s="385">
        <f>Ridership_FY2025!B6/'Revenue Hours_FY2025'!B6</f>
        <v>1.8670980965213595</v>
      </c>
      <c r="K12" s="386">
        <f>Ridership_FY2025!C6/'Revenue Hours_FY2025'!C6</f>
        <v>1.3455313359222201</v>
      </c>
      <c r="L12" s="386">
        <f>Ridership_FY2025!D6/'Revenue Hours_FY2025'!D6</f>
        <v>2.5156324194636741</v>
      </c>
      <c r="M12" s="386">
        <f>Ridership_FY2025!E6/'Revenue Hours_FY2025'!E6</f>
        <v>2.7827345119658662</v>
      </c>
      <c r="N12" s="387">
        <f t="shared" si="2"/>
        <v>1.2596800836704516</v>
      </c>
      <c r="O12" s="388">
        <f t="shared" si="3"/>
        <v>7.3802909771941618E-3</v>
      </c>
      <c r="P12" s="389">
        <f t="shared" si="4"/>
        <v>6.9718051439784734E-3</v>
      </c>
      <c r="Q12" s="385">
        <f>Ridership_FY2025!B6/'Revenue Miles_FY2025'!B6</f>
        <v>0.11380730389718556</v>
      </c>
      <c r="R12" s="386">
        <f>Ridership_FY2025!C6/'Revenue Miles_FY2025'!C6</f>
        <v>8.6154544217069737E-2</v>
      </c>
      <c r="S12" s="386">
        <f>Ridership_FY2025!D6/'Revenue Miles_FY2025'!D6</f>
        <v>0.15736959607772016</v>
      </c>
      <c r="T12" s="386">
        <f>Ridership_FY2025!E6/'Revenue Miles_FY2025'!E6</f>
        <v>0.16460220997236286</v>
      </c>
      <c r="U12" s="387">
        <f t="shared" si="5"/>
        <v>1.2593362033437594</v>
      </c>
      <c r="V12" s="388">
        <f t="shared" si="6"/>
        <v>7.3782762300331796E-3</v>
      </c>
      <c r="W12" s="389">
        <f t="shared" si="7"/>
        <v>6.9957065403039699E-3</v>
      </c>
      <c r="X12" s="385">
        <f>'Op Cost_FY2025'!B6/'Revenue Hours_FY2025'!B6</f>
        <v>28.535460118042245</v>
      </c>
      <c r="Y12" s="386">
        <f>'Op Cost_FY2025'!C6/'Revenue Hours_FY2025'!C6</f>
        <v>42.25856741971144</v>
      </c>
      <c r="Z12" s="386">
        <f>'Op Cost_FY2025'!D6/'Revenue Hours_FY2025'!D6</f>
        <v>54.154224876915002</v>
      </c>
      <c r="AA12" s="386">
        <f>'Op Cost_FY2025'!E6/'Revenue Hours_FY2025'!E6</f>
        <v>45.459899034704179</v>
      </c>
      <c r="AB12" s="387">
        <f t="shared" si="8"/>
        <v>1.131145514490173</v>
      </c>
      <c r="AC12" s="388">
        <f t="shared" si="9"/>
        <v>5.1795823721211449E-3</v>
      </c>
      <c r="AD12" s="389">
        <f t="shared" si="10"/>
        <v>5.5253666622642542E-3</v>
      </c>
      <c r="AE12" s="385">
        <f>'Op Cost_FY2025'!B6/'Revenue Miles_FY2025'!B6</f>
        <v>1.7393535923745185</v>
      </c>
      <c r="AF12" s="386">
        <f>'Op Cost_FY2025'!C6/'Revenue Miles_FY2025'!C6</f>
        <v>2.7058214982530968</v>
      </c>
      <c r="AG12" s="386">
        <f>'Op Cost_FY2025'!D6/'Revenue Miles_FY2025'!D6</f>
        <v>3.3877081678725758</v>
      </c>
      <c r="AH12" s="386">
        <f>'Op Cost_FY2025'!E6/'Revenue Miles_FY2025'!E6</f>
        <v>2.689009610531103</v>
      </c>
      <c r="AI12" s="387">
        <f t="shared" si="11"/>
        <v>1.1289699957487576</v>
      </c>
      <c r="AJ12" s="388">
        <f t="shared" si="12"/>
        <v>5.1895633978044546E-3</v>
      </c>
      <c r="AK12" s="389">
        <f t="shared" si="13"/>
        <v>5.5229984318587305E-3</v>
      </c>
      <c r="AL12" s="385">
        <f>'Op Cost_FY2025'!B6/Ridership_FY2025!B6</f>
        <v>15.283321305510098</v>
      </c>
      <c r="AM12" s="386">
        <f>'Op Cost_FY2025'!C6/Ridership_FY2025!C6</f>
        <v>31.406602203543365</v>
      </c>
      <c r="AN12" s="386">
        <f>'Op Cost_FY2025'!D6/Ridership_FY2025!D6</f>
        <v>21.527081801744522</v>
      </c>
      <c r="AO12" s="386">
        <f>'Op Cost_FY2025'!E6/Ridership_FY2025!E6</f>
        <v>16.33641256081917</v>
      </c>
      <c r="AP12" s="390">
        <f t="shared" si="14"/>
        <v>0.9068629018501454</v>
      </c>
      <c r="AQ12" s="388">
        <f t="shared" si="15"/>
        <v>6.4605811476069743E-3</v>
      </c>
      <c r="AR12" s="389">
        <f t="shared" si="16"/>
        <v>7.0144416213374127E-3</v>
      </c>
      <c r="AT12" s="391">
        <f t="shared" si="26"/>
        <v>0</v>
      </c>
      <c r="AU12" s="392">
        <f t="shared" si="17"/>
        <v>0</v>
      </c>
      <c r="AV12" s="392">
        <f t="shared" si="18"/>
        <v>0</v>
      </c>
      <c r="AW12" s="392">
        <f t="shared" si="19"/>
        <v>0</v>
      </c>
      <c r="AX12" s="393">
        <f t="shared" si="20"/>
        <v>0</v>
      </c>
      <c r="AY12" s="148">
        <f t="shared" si="27"/>
        <v>-1</v>
      </c>
      <c r="AZ12" s="394">
        <f t="shared" si="21"/>
        <v>0</v>
      </c>
      <c r="BA12" s="395">
        <f t="shared" si="21"/>
        <v>0</v>
      </c>
      <c r="BB12" s="395">
        <f t="shared" si="21"/>
        <v>0</v>
      </c>
      <c r="BC12" s="395">
        <f t="shared" si="21"/>
        <v>0</v>
      </c>
      <c r="BD12" s="395">
        <f t="shared" si="21"/>
        <v>0</v>
      </c>
      <c r="BE12" s="396">
        <f t="shared" si="28"/>
        <v>716190.1455884676</v>
      </c>
      <c r="BG12" s="397">
        <f>'Op Cost_FY2025'!E6</f>
        <v>2152208</v>
      </c>
      <c r="BH12" s="398">
        <f t="shared" si="22"/>
        <v>0.33276994862414211</v>
      </c>
      <c r="BI12" s="399">
        <f t="shared" si="23"/>
        <v>645662.4</v>
      </c>
      <c r="BJ12" s="400">
        <f t="shared" si="24"/>
        <v>70527.745588467573</v>
      </c>
      <c r="BL12" s="548">
        <f t="shared" si="29"/>
        <v>0.2599460676773469</v>
      </c>
      <c r="BM12" s="548">
        <f t="shared" si="30"/>
        <v>0.22185566098003959</v>
      </c>
      <c r="BN12" s="549">
        <f t="shared" si="31"/>
        <v>0.67190741082507921</v>
      </c>
      <c r="BO12" s="554">
        <f t="shared" si="25"/>
        <v>0</v>
      </c>
      <c r="BP12" s="562">
        <f t="shared" si="32"/>
        <v>0.45640413757688625</v>
      </c>
      <c r="BQ12" s="552">
        <f t="shared" si="33"/>
        <v>2.67400856945992E-3</v>
      </c>
      <c r="BR12" s="402">
        <f t="shared" si="34"/>
        <v>0</v>
      </c>
      <c r="BS12" s="553">
        <f t="shared" si="35"/>
        <v>0</v>
      </c>
      <c r="BT12" s="556">
        <f t="shared" si="36"/>
        <v>645662.4</v>
      </c>
      <c r="BU12" s="540">
        <f t="shared" si="37"/>
        <v>645662.4</v>
      </c>
      <c r="BV12" s="540">
        <f t="shared" si="38"/>
        <v>645662.4</v>
      </c>
      <c r="BW12" s="540">
        <f t="shared" si="39"/>
        <v>0</v>
      </c>
      <c r="BX12" s="541">
        <f t="shared" si="40"/>
        <v>0</v>
      </c>
      <c r="BY12" s="542">
        <f t="shared" si="41"/>
        <v>0</v>
      </c>
      <c r="BZ12" s="563">
        <f t="shared" si="42"/>
        <v>645662.4</v>
      </c>
      <c r="CA12" s="114"/>
    </row>
    <row r="13" spans="1:79">
      <c r="A13" s="403" t="s">
        <v>49</v>
      </c>
      <c r="B13" s="382" t="s">
        <v>64</v>
      </c>
      <c r="C13" s="179">
        <f>'Sizing - Reim Expen_FY2025'!B7</f>
        <v>450961</v>
      </c>
      <c r="D13" s="178">
        <f>Ridership_FY2025!$E7</f>
        <v>31171</v>
      </c>
      <c r="E13" s="178">
        <f>'Revenue Hours_FY2025'!$E7</f>
        <v>8170</v>
      </c>
      <c r="F13" s="178">
        <f>'Revenue Miles_FY2025'!$E7</f>
        <v>132943</v>
      </c>
      <c r="G13" s="383">
        <f t="shared" si="0"/>
        <v>1.118893298237163E-3</v>
      </c>
      <c r="H13" s="384">
        <f t="shared" si="1"/>
        <v>1.1188932982371632E-3</v>
      </c>
      <c r="J13" s="385">
        <f>Ridership_FY2025!B7/'Revenue Hours_FY2025'!B7</f>
        <v>5.5566235366605055</v>
      </c>
      <c r="K13" s="386">
        <f>Ridership_FY2025!C7/'Revenue Hours_FY2025'!C7</f>
        <v>3.8071505958829901</v>
      </c>
      <c r="L13" s="386">
        <f>Ridership_FY2025!D7/'Revenue Hours_FY2025'!D7</f>
        <v>3.650582779796967</v>
      </c>
      <c r="M13" s="386">
        <f>Ridership_FY2025!E7/'Revenue Hours_FY2025'!E7</f>
        <v>3.815299877600979</v>
      </c>
      <c r="N13" s="387">
        <f t="shared" si="2"/>
        <v>0.98400547632215163</v>
      </c>
      <c r="O13" s="388">
        <f t="shared" si="3"/>
        <v>1.1009971328855229E-3</v>
      </c>
      <c r="P13" s="389">
        <f t="shared" si="4"/>
        <v>1.0400589215623416E-3</v>
      </c>
      <c r="Q13" s="385">
        <f>Ridership_FY2025!B7/'Revenue Miles_FY2025'!B7</f>
        <v>0.3373331737387037</v>
      </c>
      <c r="R13" s="386">
        <f>Ridership_FY2025!C7/'Revenue Miles_FY2025'!C7</f>
        <v>0.2437813629741542</v>
      </c>
      <c r="S13" s="386">
        <f>Ridership_FY2025!D7/'Revenue Miles_FY2025'!D7</f>
        <v>0.22496138399752857</v>
      </c>
      <c r="T13" s="386">
        <f>Ridership_FY2025!E7/'Revenue Miles_FY2025'!E7</f>
        <v>0.23446890772737189</v>
      </c>
      <c r="U13" s="387">
        <f t="shared" si="5"/>
        <v>0.9968029568907818</v>
      </c>
      <c r="V13" s="388">
        <f t="shared" si="6"/>
        <v>1.1153161481280837E-3</v>
      </c>
      <c r="W13" s="389">
        <f t="shared" si="7"/>
        <v>1.0574860887163043E-3</v>
      </c>
      <c r="X13" s="385">
        <f>'Op Cost_FY2025'!B7/'Revenue Hours_FY2025'!B7</f>
        <v>38.559704251386322</v>
      </c>
      <c r="Y13" s="386">
        <f>'Op Cost_FY2025'!C7/'Revenue Hours_FY2025'!C7</f>
        <v>43.683519922956542</v>
      </c>
      <c r="Z13" s="386">
        <f>'Op Cost_FY2025'!D7/'Revenue Hours_FY2025'!D7</f>
        <v>59.664118310565236</v>
      </c>
      <c r="AA13" s="386">
        <f>'Op Cost_FY2025'!E7/'Revenue Hours_FY2025'!E7</f>
        <v>55.822399020807836</v>
      </c>
      <c r="AB13" s="387">
        <f t="shared" si="8"/>
        <v>1.0986125400469504</v>
      </c>
      <c r="AC13" s="388">
        <f t="shared" si="9"/>
        <v>1.0184603374264651E-3</v>
      </c>
      <c r="AD13" s="389">
        <f t="shared" si="10"/>
        <v>1.0864518393497568E-3</v>
      </c>
      <c r="AE13" s="385">
        <f>'Op Cost_FY2025'!B7/'Revenue Miles_FY2025'!B7</f>
        <v>2.340894128912562</v>
      </c>
      <c r="AF13" s="386">
        <f>'Op Cost_FY2025'!C7/'Revenue Miles_FY2025'!C7</f>
        <v>2.7971649027603269</v>
      </c>
      <c r="AG13" s="386">
        <f>'Op Cost_FY2025'!D7/'Revenue Miles_FY2025'!D7</f>
        <v>3.6767068273092369</v>
      </c>
      <c r="AH13" s="386">
        <f>'Op Cost_FY2025'!E7/'Revenue Miles_FY2025'!E7</f>
        <v>3.4305604657635227</v>
      </c>
      <c r="AI13" s="387">
        <f t="shared" si="11"/>
        <v>1.1030365413985617</v>
      </c>
      <c r="AJ13" s="388">
        <f t="shared" si="12"/>
        <v>1.0143755498965578E-3</v>
      </c>
      <c r="AK13" s="389">
        <f t="shared" si="13"/>
        <v>1.0795502707924771E-3</v>
      </c>
      <c r="AL13" s="385">
        <f>'Op Cost_FY2025'!B7/Ridership_FY2025!B7</f>
        <v>6.9394127561429961</v>
      </c>
      <c r="AM13" s="386">
        <f>'Op Cost_FY2025'!C7/Ridership_FY2025!C7</f>
        <v>11.474071966103839</v>
      </c>
      <c r="AN13" s="386">
        <f>'Op Cost_FY2025'!D7/Ridership_FY2025!D7</f>
        <v>16.343724251579236</v>
      </c>
      <c r="AO13" s="386">
        <f>'Op Cost_FY2025'!E7/Ridership_FY2025!E7</f>
        <v>14.631195662635141</v>
      </c>
      <c r="AP13" s="390">
        <f t="shared" si="14"/>
        <v>1.2256175688486206</v>
      </c>
      <c r="AQ13" s="388">
        <f t="shared" si="15"/>
        <v>9.1292204573102101E-4</v>
      </c>
      <c r="AR13" s="389">
        <f t="shared" si="16"/>
        <v>9.9118612525811315E-4</v>
      </c>
      <c r="AT13" s="391">
        <f t="shared" si="26"/>
        <v>0</v>
      </c>
      <c r="AU13" s="392">
        <f t="shared" si="17"/>
        <v>0</v>
      </c>
      <c r="AV13" s="392">
        <f t="shared" si="18"/>
        <v>0</v>
      </c>
      <c r="AW13" s="392">
        <f t="shared" si="19"/>
        <v>0</v>
      </c>
      <c r="AX13" s="393">
        <f t="shared" si="20"/>
        <v>0</v>
      </c>
      <c r="AY13" s="148">
        <f t="shared" si="27"/>
        <v>-1</v>
      </c>
      <c r="AZ13" s="394">
        <f t="shared" si="21"/>
        <v>0</v>
      </c>
      <c r="BA13" s="395">
        <f t="shared" si="21"/>
        <v>0</v>
      </c>
      <c r="BB13" s="395">
        <f t="shared" si="21"/>
        <v>0</v>
      </c>
      <c r="BC13" s="395">
        <f t="shared" si="21"/>
        <v>0</v>
      </c>
      <c r="BD13" s="395">
        <f t="shared" si="21"/>
        <v>0</v>
      </c>
      <c r="BE13" s="396">
        <f t="shared" si="28"/>
        <v>136774.07672666191</v>
      </c>
      <c r="BG13" s="397">
        <f>'Op Cost_FY2025'!E7</f>
        <v>456069</v>
      </c>
      <c r="BH13" s="398">
        <f t="shared" si="22"/>
        <v>0.29989777144831575</v>
      </c>
      <c r="BI13" s="399">
        <f t="shared" si="23"/>
        <v>136774.07672666191</v>
      </c>
      <c r="BJ13" s="400">
        <f t="shared" si="24"/>
        <v>0</v>
      </c>
      <c r="BL13" s="548">
        <f t="shared" si="29"/>
        <v>0.35640201964203866</v>
      </c>
      <c r="BM13" s="548">
        <f t="shared" si="30"/>
        <v>0.31602403462175876</v>
      </c>
      <c r="BN13" s="549">
        <f t="shared" si="31"/>
        <v>0.75021597134006102</v>
      </c>
      <c r="BO13" s="554">
        <f t="shared" si="25"/>
        <v>0</v>
      </c>
      <c r="BP13" s="562">
        <f t="shared" si="32"/>
        <v>0.54321449923597986</v>
      </c>
      <c r="BQ13" s="552">
        <f t="shared" si="33"/>
        <v>6.0779906270039448E-4</v>
      </c>
      <c r="BR13" s="402">
        <f t="shared" si="34"/>
        <v>0</v>
      </c>
      <c r="BS13" s="553">
        <f t="shared" si="35"/>
        <v>0</v>
      </c>
      <c r="BT13" s="556">
        <f t="shared" si="36"/>
        <v>136774.07672666191</v>
      </c>
      <c r="BU13" s="540">
        <f t="shared" si="37"/>
        <v>136820.69999999998</v>
      </c>
      <c r="BV13" s="540">
        <f t="shared" si="38"/>
        <v>136774.07672666191</v>
      </c>
      <c r="BW13" s="540">
        <f t="shared" si="39"/>
        <v>0</v>
      </c>
      <c r="BX13" s="541">
        <f t="shared" si="40"/>
        <v>6.0779906270039448E-4</v>
      </c>
      <c r="BY13" s="542">
        <f t="shared" si="41"/>
        <v>1.223512575181463E-3</v>
      </c>
      <c r="BZ13" s="563">
        <f t="shared" si="42"/>
        <v>137868.281069613</v>
      </c>
      <c r="CA13" s="114"/>
    </row>
    <row r="14" spans="1:79">
      <c r="A14" s="403" t="s">
        <v>50</v>
      </c>
      <c r="B14" s="382" t="s">
        <v>65</v>
      </c>
      <c r="C14" s="179">
        <f>'Sizing - Reim Expen_FY2025'!B8</f>
        <v>10488989</v>
      </c>
      <c r="D14" s="178">
        <f>Ridership_FY2025!$E8</f>
        <v>1147018</v>
      </c>
      <c r="E14" s="178">
        <f>'Revenue Hours_FY2025'!$E8</f>
        <v>73719</v>
      </c>
      <c r="F14" s="178">
        <f>'Revenue Miles_FY2025'!$E8</f>
        <v>782454</v>
      </c>
      <c r="G14" s="383">
        <f t="shared" si="0"/>
        <v>1.9784629132311826E-2</v>
      </c>
      <c r="H14" s="384">
        <f t="shared" si="1"/>
        <v>1.978462913231183E-2</v>
      </c>
      <c r="J14" s="385">
        <f>Ridership_FY2025!B8/'Revenue Hours_FY2025'!B8</f>
        <v>17.327594346172003</v>
      </c>
      <c r="K14" s="386">
        <f>Ridership_FY2025!C8/'Revenue Hours_FY2025'!C8</f>
        <v>8.228226225879153</v>
      </c>
      <c r="L14" s="386">
        <f>Ridership_FY2025!D8/'Revenue Hours_FY2025'!D8</f>
        <v>19.647103879082909</v>
      </c>
      <c r="M14" s="386">
        <f>Ridership_FY2025!E8/'Revenue Hours_FY2025'!E8</f>
        <v>15.559326632211507</v>
      </c>
      <c r="N14" s="387">
        <f t="shared" si="2"/>
        <v>1.146642827024652</v>
      </c>
      <c r="O14" s="388">
        <f t="shared" si="3"/>
        <v>2.2685903079908323E-2</v>
      </c>
      <c r="P14" s="389">
        <f t="shared" si="4"/>
        <v>2.1430279141708291E-2</v>
      </c>
      <c r="Q14" s="385">
        <f>Ridership_FY2025!B8/'Revenue Miles_FY2025'!B8</f>
        <v>1.9171644901717197</v>
      </c>
      <c r="R14" s="386">
        <f>Ridership_FY2025!C8/'Revenue Miles_FY2025'!C8</f>
        <v>0.84464065708418889</v>
      </c>
      <c r="S14" s="386">
        <f>Ridership_FY2025!D8/'Revenue Miles_FY2025'!D8</f>
        <v>1.4289408659654961</v>
      </c>
      <c r="T14" s="386">
        <f>Ridership_FY2025!E8/'Revenue Miles_FY2025'!E8</f>
        <v>1.465923875397148</v>
      </c>
      <c r="U14" s="387">
        <f t="shared" si="5"/>
        <v>1.0157118214755225</v>
      </c>
      <c r="V14" s="388">
        <f t="shared" si="6"/>
        <v>2.0095481693198136E-2</v>
      </c>
      <c r="W14" s="389">
        <f t="shared" si="7"/>
        <v>1.9053514442767441E-2</v>
      </c>
      <c r="X14" s="385">
        <f>'Op Cost_FY2025'!B8/'Revenue Hours_FY2025'!B8</f>
        <v>81.344653948330603</v>
      </c>
      <c r="Y14" s="386">
        <f>'Op Cost_FY2025'!C8/'Revenue Hours_FY2025'!C8</f>
        <v>121.31553469268006</v>
      </c>
      <c r="Z14" s="386">
        <f>'Op Cost_FY2025'!D8/'Revenue Hours_FY2025'!D8</f>
        <v>156.54829705026299</v>
      </c>
      <c r="AA14" s="386">
        <f>'Op Cost_FY2025'!E8/'Revenue Hours_FY2025'!E8</f>
        <v>142.28338691517791</v>
      </c>
      <c r="AB14" s="387">
        <f t="shared" si="8"/>
        <v>1.1618312176531347</v>
      </c>
      <c r="AC14" s="388">
        <f t="shared" si="9"/>
        <v>1.7028832442870838E-2</v>
      </c>
      <c r="AD14" s="389">
        <f t="shared" si="10"/>
        <v>1.8165662078000796E-2</v>
      </c>
      <c r="AE14" s="385">
        <f>'Op Cost_FY2025'!B8/'Revenue Miles_FY2025'!B8</f>
        <v>9.0001577194989437</v>
      </c>
      <c r="AF14" s="386">
        <f>'Op Cost_FY2025'!C8/'Revenue Miles_FY2025'!C8</f>
        <v>12.453234770704997</v>
      </c>
      <c r="AG14" s="386">
        <f>'Op Cost_FY2025'!D8/'Revenue Miles_FY2025'!D8</f>
        <v>11.385813427218888</v>
      </c>
      <c r="AH14" s="386">
        <f>'Op Cost_FY2025'!E8/'Revenue Miles_FY2025'!E8</f>
        <v>13.405246826011497</v>
      </c>
      <c r="AI14" s="387">
        <f t="shared" si="11"/>
        <v>1.1048323787932597</v>
      </c>
      <c r="AJ14" s="388">
        <f t="shared" si="12"/>
        <v>1.7907358176741127E-2</v>
      </c>
      <c r="AK14" s="389">
        <f t="shared" si="13"/>
        <v>1.905792521403947E-2</v>
      </c>
      <c r="AL14" s="385">
        <f>'Op Cost_FY2025'!B8/Ridership_FY2025!B8</f>
        <v>4.6945151371402689</v>
      </c>
      <c r="AM14" s="386">
        <f>'Op Cost_FY2025'!C8/Ridership_FY2025!C8</f>
        <v>14.743825869921071</v>
      </c>
      <c r="AN14" s="386">
        <f>'Op Cost_FY2025'!D8/Ridership_FY2025!D8</f>
        <v>7.9680088227624495</v>
      </c>
      <c r="AO14" s="386">
        <f>'Op Cost_FY2025'!E8/Ridership_FY2025!E8</f>
        <v>9.1445722734952728</v>
      </c>
      <c r="AP14" s="387">
        <f t="shared" si="14"/>
        <v>1.1634437228193528</v>
      </c>
      <c r="AQ14" s="388">
        <f t="shared" si="15"/>
        <v>1.7005230888493761E-2</v>
      </c>
      <c r="AR14" s="389">
        <f t="shared" si="16"/>
        <v>1.8463075782104502E-2</v>
      </c>
      <c r="AT14" s="391">
        <f t="shared" si="26"/>
        <v>0</v>
      </c>
      <c r="AU14" s="392">
        <f t="shared" si="17"/>
        <v>0</v>
      </c>
      <c r="AV14" s="392">
        <f t="shared" si="18"/>
        <v>0</v>
      </c>
      <c r="AW14" s="392">
        <f t="shared" si="19"/>
        <v>0</v>
      </c>
      <c r="AX14" s="393">
        <f t="shared" si="20"/>
        <v>0</v>
      </c>
      <c r="AY14" s="148">
        <f t="shared" si="27"/>
        <v>-1</v>
      </c>
      <c r="AZ14" s="394">
        <f t="shared" si="21"/>
        <v>0</v>
      </c>
      <c r="BA14" s="395">
        <f t="shared" si="21"/>
        <v>0</v>
      </c>
      <c r="BB14" s="395">
        <f t="shared" si="21"/>
        <v>0</v>
      </c>
      <c r="BC14" s="395">
        <f t="shared" si="21"/>
        <v>0</v>
      </c>
      <c r="BD14" s="395">
        <f t="shared" si="21"/>
        <v>0</v>
      </c>
      <c r="BE14" s="396">
        <f t="shared" si="28"/>
        <v>2418482.9663514472</v>
      </c>
      <c r="BG14" s="397">
        <f>'Op Cost_FY2025'!E8</f>
        <v>10488989</v>
      </c>
      <c r="BH14" s="398">
        <f t="shared" si="22"/>
        <v>0.23057350583087152</v>
      </c>
      <c r="BI14" s="399">
        <f t="shared" si="23"/>
        <v>2418482.9663514472</v>
      </c>
      <c r="BJ14" s="400">
        <f t="shared" si="24"/>
        <v>0</v>
      </c>
      <c r="BL14" s="548">
        <f t="shared" si="29"/>
        <v>1.4534572940246089</v>
      </c>
      <c r="BM14" s="548">
        <f t="shared" si="30"/>
        <v>1.9758149685673196</v>
      </c>
      <c r="BN14" s="549">
        <f t="shared" si="31"/>
        <v>1.2003357114607625</v>
      </c>
      <c r="BO14" s="554">
        <f t="shared" si="25"/>
        <v>2418482.9663514472</v>
      </c>
      <c r="BP14" s="562">
        <f t="shared" si="32"/>
        <v>1.4574859213783635</v>
      </c>
      <c r="BQ14" s="552">
        <f t="shared" si="33"/>
        <v>2.883581842003672E-2</v>
      </c>
      <c r="BR14" s="402">
        <f t="shared" si="34"/>
        <v>2.883581842003672E-2</v>
      </c>
      <c r="BS14" s="553">
        <f t="shared" si="35"/>
        <v>3.2542072285535982E-2</v>
      </c>
      <c r="BT14" s="556">
        <f t="shared" si="36"/>
        <v>2698169.5328684393</v>
      </c>
      <c r="BU14" s="540">
        <f t="shared" si="37"/>
        <v>3146696.6999999997</v>
      </c>
      <c r="BV14" s="540">
        <f t="shared" si="38"/>
        <v>2698169.5328684393</v>
      </c>
      <c r="BW14" s="540">
        <f t="shared" si="39"/>
        <v>0</v>
      </c>
      <c r="BX14" s="541">
        <f t="shared" si="40"/>
        <v>2.883581842003672E-2</v>
      </c>
      <c r="BY14" s="542">
        <f t="shared" si="41"/>
        <v>5.8047122178527331E-2</v>
      </c>
      <c r="BZ14" s="563">
        <f t="shared" si="42"/>
        <v>2750081.8829921298</v>
      </c>
      <c r="CA14" s="114"/>
    </row>
    <row r="15" spans="1:79">
      <c r="A15" s="405"/>
      <c r="B15" s="406"/>
      <c r="C15" s="407"/>
      <c r="D15" s="408"/>
      <c r="E15" s="408"/>
      <c r="F15" s="408"/>
      <c r="G15" s="409"/>
      <c r="H15" s="410"/>
      <c r="J15" s="411"/>
      <c r="K15" s="412"/>
      <c r="L15" s="412"/>
      <c r="M15" s="412"/>
      <c r="N15" s="413"/>
      <c r="O15" s="414"/>
      <c r="P15" s="415"/>
      <c r="Q15" s="411"/>
      <c r="R15" s="412"/>
      <c r="S15" s="412"/>
      <c r="T15" s="412"/>
      <c r="U15" s="413"/>
      <c r="V15" s="414"/>
      <c r="W15" s="415"/>
      <c r="X15" s="411"/>
      <c r="Y15" s="412"/>
      <c r="Z15" s="412"/>
      <c r="AA15" s="412"/>
      <c r="AB15" s="413"/>
      <c r="AC15" s="414"/>
      <c r="AD15" s="415"/>
      <c r="AE15" s="411"/>
      <c r="AF15" s="412"/>
      <c r="AG15" s="412"/>
      <c r="AH15" s="412"/>
      <c r="AI15" s="413"/>
      <c r="AJ15" s="414"/>
      <c r="AK15" s="415"/>
      <c r="AL15" s="411"/>
      <c r="AM15" s="412"/>
      <c r="AN15" s="412"/>
      <c r="AO15" s="412"/>
      <c r="AP15" s="416"/>
      <c r="AQ15" s="414"/>
      <c r="AR15" s="415"/>
      <c r="AT15" s="417"/>
      <c r="AU15" s="418"/>
      <c r="AV15" s="418"/>
      <c r="AW15" s="418"/>
      <c r="AX15" s="419"/>
      <c r="AY15" s="148" t="e">
        <f t="shared" si="27"/>
        <v>#DIV/0!</v>
      </c>
      <c r="AZ15" s="420"/>
      <c r="BA15" s="421"/>
      <c r="BB15" s="421"/>
      <c r="BC15" s="421"/>
      <c r="BD15" s="421"/>
      <c r="BE15" s="396">
        <f t="shared" si="28"/>
        <v>0</v>
      </c>
      <c r="BG15" s="422"/>
      <c r="BH15" s="423"/>
      <c r="BI15" s="424"/>
      <c r="BJ15" s="425"/>
      <c r="BL15" s="548">
        <f t="shared" si="29"/>
        <v>0</v>
      </c>
      <c r="BM15" s="548">
        <f t="shared" si="30"/>
        <v>0</v>
      </c>
      <c r="BN15" s="549">
        <v>0</v>
      </c>
      <c r="BO15" s="555"/>
      <c r="BP15" s="562">
        <f t="shared" si="32"/>
        <v>0</v>
      </c>
      <c r="BQ15" s="552">
        <f t="shared" si="33"/>
        <v>0</v>
      </c>
      <c r="BR15" s="402">
        <f t="shared" si="34"/>
        <v>0</v>
      </c>
      <c r="BS15" s="553">
        <f t="shared" si="35"/>
        <v>0</v>
      </c>
      <c r="BT15" s="556">
        <f t="shared" si="36"/>
        <v>0</v>
      </c>
      <c r="BU15" s="540">
        <f t="shared" si="37"/>
        <v>0</v>
      </c>
      <c r="BV15" s="540">
        <f t="shared" si="38"/>
        <v>0</v>
      </c>
      <c r="BW15" s="540">
        <f t="shared" si="39"/>
        <v>0</v>
      </c>
      <c r="BX15" s="541">
        <f t="shared" si="40"/>
        <v>0</v>
      </c>
      <c r="BY15" s="542">
        <f t="shared" si="41"/>
        <v>0</v>
      </c>
      <c r="BZ15" s="563">
        <f t="shared" si="42"/>
        <v>0</v>
      </c>
      <c r="CA15" s="114"/>
    </row>
    <row r="16" spans="1:79">
      <c r="A16" s="403" t="s">
        <v>51</v>
      </c>
      <c r="B16" s="382" t="s">
        <v>66</v>
      </c>
      <c r="C16" s="179">
        <f>'Sizing - Reim Expen_FY2025'!B10</f>
        <v>4150901</v>
      </c>
      <c r="D16" s="178">
        <f>Ridership_FY2025!$E10</f>
        <v>288349</v>
      </c>
      <c r="E16" s="178">
        <f>'Revenue Hours_FY2025'!$E10</f>
        <v>37181</v>
      </c>
      <c r="F16" s="178">
        <f>'Revenue Miles_FY2025'!$E10</f>
        <v>548622</v>
      </c>
      <c r="G16" s="404">
        <f t="shared" si="0"/>
        <v>7.4393007947873352E-3</v>
      </c>
      <c r="H16" s="384">
        <f t="shared" si="1"/>
        <v>7.439300794787336E-3</v>
      </c>
      <c r="J16" s="385">
        <f>Ridership_FY2025!B10/'Revenue Hours_FY2025'!B10</f>
        <v>5.5934530095036958</v>
      </c>
      <c r="K16" s="386">
        <f>Ridership_FY2025!C10/'Revenue Hours_FY2025'!C10</f>
        <v>3.4815432129025932</v>
      </c>
      <c r="L16" s="386">
        <f>Ridership_FY2025!D10/'Revenue Hours_FY2025'!D10</f>
        <v>4.4669216251117509</v>
      </c>
      <c r="M16" s="386">
        <f>Ridership_FY2025!E10/'Revenue Hours_FY2025'!E10</f>
        <v>7.7552782335063606</v>
      </c>
      <c r="N16" s="387">
        <f t="shared" si="2"/>
        <v>1.2198287632498523</v>
      </c>
      <c r="O16" s="388">
        <f t="shared" si="3"/>
        <v>9.0746730879490804E-3</v>
      </c>
      <c r="P16" s="389">
        <f t="shared" si="4"/>
        <v>8.5724062520010826E-3</v>
      </c>
      <c r="Q16" s="385">
        <f>Ridership_FY2025!B10/'Revenue Miles_FY2025'!B10</f>
        <v>0.3427235145820865</v>
      </c>
      <c r="R16" s="386">
        <f>Ridership_FY2025!C10/'Revenue Miles_FY2025'!C10</f>
        <v>0.23255357049300571</v>
      </c>
      <c r="S16" s="386">
        <f>Ridership_FY2025!D10/'Revenue Miles_FY2025'!D10</f>
        <v>0.30066694525699961</v>
      </c>
      <c r="T16" s="386">
        <f>Ridership_FY2025!E10/'Revenue Miles_FY2025'!E10</f>
        <v>0.52558774529639718</v>
      </c>
      <c r="U16" s="387">
        <f t="shared" si="5"/>
        <v>1.2632311762484385</v>
      </c>
      <c r="V16" s="388">
        <f t="shared" si="6"/>
        <v>9.3975566934651495E-3</v>
      </c>
      <c r="W16" s="389">
        <f t="shared" si="7"/>
        <v>8.9102856512402306E-3</v>
      </c>
      <c r="X16" s="385">
        <f>'Op Cost_FY2025'!B10/'Revenue Hours_FY2025'!B10</f>
        <v>71.54291748378337</v>
      </c>
      <c r="Y16" s="386">
        <f>'Op Cost_FY2025'!C10/'Revenue Hours_FY2025'!C10</f>
        <v>97.854576204715912</v>
      </c>
      <c r="Z16" s="386">
        <f>'Op Cost_FY2025'!D10/'Revenue Hours_FY2025'!D10</f>
        <v>112.67122777391477</v>
      </c>
      <c r="AA16" s="386">
        <f>'Op Cost_FY2025'!E10/'Revenue Hours_FY2025'!E10</f>
        <v>122.86288695839272</v>
      </c>
      <c r="AB16" s="387">
        <f t="shared" si="8"/>
        <v>1.1468704387138906</v>
      </c>
      <c r="AC16" s="388">
        <f t="shared" si="9"/>
        <v>6.4866095974448739E-3</v>
      </c>
      <c r="AD16" s="389">
        <f t="shared" si="10"/>
        <v>6.9196498570535678E-3</v>
      </c>
      <c r="AE16" s="385">
        <f>'Op Cost_FY2025'!B10/'Revenue Miles_FY2025'!B10</f>
        <v>4.38359633697433</v>
      </c>
      <c r="AF16" s="386">
        <f>'Op Cost_FY2025'!C10/'Revenue Miles_FY2025'!C10</f>
        <v>6.5363057971394145</v>
      </c>
      <c r="AG16" s="386">
        <f>'Op Cost_FY2025'!D10/'Revenue Miles_FY2025'!D10</f>
        <v>7.5838612620142083</v>
      </c>
      <c r="AH16" s="386">
        <f>'Op Cost_FY2025'!E10/'Revenue Miles_FY2025'!E10</f>
        <v>8.3266165046243135</v>
      </c>
      <c r="AI16" s="387">
        <f t="shared" si="11"/>
        <v>1.1891379558716986</v>
      </c>
      <c r="AJ16" s="388">
        <f t="shared" si="12"/>
        <v>6.2560451948015993E-3</v>
      </c>
      <c r="AK16" s="389">
        <f t="shared" si="13"/>
        <v>6.6580028322121522E-3</v>
      </c>
      <c r="AL16" s="385">
        <f>'Op Cost_FY2025'!B10/Ridership_FY2025!B10</f>
        <v>12.790474392513282</v>
      </c>
      <c r="AM16" s="386">
        <f>'Op Cost_FY2025'!C10/Ridership_FY2025!C10</f>
        <v>28.106667136018022</v>
      </c>
      <c r="AN16" s="386">
        <f>'Op Cost_FY2025'!D10/Ridership_FY2025!D10</f>
        <v>25.223461978940815</v>
      </c>
      <c r="AO16" s="386">
        <f>'Op Cost_FY2025'!E10/Ridership_FY2025!E10</f>
        <v>15.842486015210735</v>
      </c>
      <c r="AP16" s="390">
        <f t="shared" si="14"/>
        <v>0.96170318816631051</v>
      </c>
      <c r="AQ16" s="388">
        <f t="shared" si="15"/>
        <v>7.7355476058802814E-3</v>
      </c>
      <c r="AR16" s="389">
        <f t="shared" si="16"/>
        <v>8.3987099381333443E-3</v>
      </c>
      <c r="AT16" s="391">
        <f t="shared" si="26"/>
        <v>0</v>
      </c>
      <c r="AU16" s="392">
        <f t="shared" si="17"/>
        <v>0</v>
      </c>
      <c r="AV16" s="392">
        <f t="shared" si="18"/>
        <v>0</v>
      </c>
      <c r="AW16" s="392">
        <f t="shared" si="19"/>
        <v>0</v>
      </c>
      <c r="AX16" s="393">
        <f t="shared" si="20"/>
        <v>0</v>
      </c>
      <c r="AY16" s="148">
        <f t="shared" si="27"/>
        <v>-1</v>
      </c>
      <c r="AZ16" s="394">
        <f t="shared" si="21"/>
        <v>0</v>
      </c>
      <c r="BA16" s="395">
        <f t="shared" si="21"/>
        <v>0</v>
      </c>
      <c r="BB16" s="395">
        <f t="shared" si="21"/>
        <v>0</v>
      </c>
      <c r="BC16" s="395">
        <f t="shared" si="21"/>
        <v>0</v>
      </c>
      <c r="BD16" s="395">
        <f t="shared" si="21"/>
        <v>0</v>
      </c>
      <c r="BE16" s="396">
        <f t="shared" si="28"/>
        <v>909383.85215288657</v>
      </c>
      <c r="BG16" s="397">
        <f>'Op Cost_FY2025'!E10</f>
        <v>4568165</v>
      </c>
      <c r="BH16" s="398">
        <f t="shared" si="22"/>
        <v>0.19906983485773533</v>
      </c>
      <c r="BI16" s="399">
        <f t="shared" si="23"/>
        <v>909383.85215288657</v>
      </c>
      <c r="BJ16" s="400">
        <f t="shared" si="24"/>
        <v>0</v>
      </c>
      <c r="BL16" s="548">
        <f t="shared" si="29"/>
        <v>0.72445074148289001</v>
      </c>
      <c r="BM16" s="548">
        <f t="shared" si="30"/>
        <v>0.70840249748359463</v>
      </c>
      <c r="BN16" s="549">
        <f t="shared" si="31"/>
        <v>0.69285569546165071</v>
      </c>
      <c r="BO16" s="554">
        <f t="shared" si="25"/>
        <v>909383.85215288657</v>
      </c>
      <c r="BP16" s="562">
        <f t="shared" si="32"/>
        <v>0.70464115747244649</v>
      </c>
      <c r="BQ16" s="552">
        <f t="shared" si="33"/>
        <v>5.2420375228246392E-3</v>
      </c>
      <c r="BR16" s="402">
        <f t="shared" si="34"/>
        <v>5.2420375228246392E-3</v>
      </c>
      <c r="BS16" s="553">
        <f t="shared" si="35"/>
        <v>5.9157940831226158E-3</v>
      </c>
      <c r="BT16" s="556">
        <f t="shared" si="36"/>
        <v>960227.82179355109</v>
      </c>
      <c r="BU16" s="540">
        <f t="shared" si="37"/>
        <v>1370449.5</v>
      </c>
      <c r="BV16" s="540">
        <f t="shared" si="38"/>
        <v>960227.82179355109</v>
      </c>
      <c r="BW16" s="540">
        <f t="shared" si="39"/>
        <v>0</v>
      </c>
      <c r="BX16" s="541">
        <f t="shared" si="40"/>
        <v>5.2420375228246392E-3</v>
      </c>
      <c r="BY16" s="542">
        <f t="shared" si="41"/>
        <v>1.0552334187969237E-2</v>
      </c>
      <c r="BZ16" s="563">
        <f t="shared" si="42"/>
        <v>969664.9212815027</v>
      </c>
      <c r="CA16" s="114"/>
    </row>
    <row r="17" spans="1:79">
      <c r="A17" s="403" t="s">
        <v>104</v>
      </c>
      <c r="B17" s="382" t="s">
        <v>67</v>
      </c>
      <c r="C17" s="179">
        <f>'Sizing - Reim Expen_FY2025'!B11</f>
        <v>1970225</v>
      </c>
      <c r="D17" s="178">
        <f>Ridership_FY2025!$E11</f>
        <v>75077</v>
      </c>
      <c r="E17" s="178">
        <f>'Revenue Hours_FY2025'!$E11</f>
        <v>22410</v>
      </c>
      <c r="F17" s="178">
        <f>'Revenue Miles_FY2025'!$E11</f>
        <v>442128</v>
      </c>
      <c r="G17" s="404">
        <f t="shared" si="0"/>
        <v>3.6638163806052642E-3</v>
      </c>
      <c r="H17" s="384">
        <f t="shared" si="1"/>
        <v>3.6638163806052646E-3</v>
      </c>
      <c r="J17" s="385">
        <f>Ridership_FY2025!B11/'Revenue Hours_FY2025'!B11</f>
        <v>6.7021276595744679</v>
      </c>
      <c r="K17" s="386">
        <f>Ridership_FY2025!C11/'Revenue Hours_FY2025'!C11</f>
        <v>5.361326293975428</v>
      </c>
      <c r="L17" s="386">
        <f>Ridership_FY2025!D11/'Revenue Hours_FY2025'!D11</f>
        <v>3.4816356739753909</v>
      </c>
      <c r="M17" s="386">
        <f>Ridership_FY2025!E11/'Revenue Hours_FY2025'!E11</f>
        <v>3.3501561802766622</v>
      </c>
      <c r="N17" s="387">
        <f t="shared" si="2"/>
        <v>0.9553120857071894</v>
      </c>
      <c r="O17" s="388">
        <f t="shared" si="3"/>
        <v>3.5000880682041812E-3</v>
      </c>
      <c r="P17" s="389">
        <f t="shared" si="4"/>
        <v>3.3063644880246593E-3</v>
      </c>
      <c r="Q17" s="385">
        <f>Ridership_FY2025!B11/'Revenue Miles_FY2025'!B11</f>
        <v>0.35838935027674113</v>
      </c>
      <c r="R17" s="386">
        <f>Ridership_FY2025!C11/'Revenue Miles_FY2025'!C11</f>
        <v>0.29459705668644059</v>
      </c>
      <c r="S17" s="386">
        <f>Ridership_FY2025!D11/'Revenue Miles_FY2025'!D11</f>
        <v>0.18135424146189841</v>
      </c>
      <c r="T17" s="386">
        <f>Ridership_FY2025!E11/'Revenue Miles_FY2025'!E11</f>
        <v>0.16980829081171064</v>
      </c>
      <c r="U17" s="387">
        <f t="shared" si="5"/>
        <v>0.94938316718089533</v>
      </c>
      <c r="V17" s="388">
        <f t="shared" si="6"/>
        <v>3.4783655993882705E-3</v>
      </c>
      <c r="W17" s="389">
        <f t="shared" si="7"/>
        <v>3.2980094827785322E-3</v>
      </c>
      <c r="X17" s="385">
        <f>'Op Cost_FY2025'!B11/'Revenue Hours_FY2025'!B11</f>
        <v>66.919313392948922</v>
      </c>
      <c r="Y17" s="386">
        <f>'Op Cost_FY2025'!C11/'Revenue Hours_FY2025'!C11</f>
        <v>71.305225243005879</v>
      </c>
      <c r="Z17" s="386">
        <f>'Op Cost_FY2025'!D11/'Revenue Hours_FY2025'!D11</f>
        <v>79.874363955962622</v>
      </c>
      <c r="AA17" s="386">
        <f>'Op Cost_FY2025'!E11/'Revenue Hours_FY2025'!E11</f>
        <v>87.91722445336903</v>
      </c>
      <c r="AB17" s="387">
        <f t="shared" si="8"/>
        <v>1.0576341091476011</v>
      </c>
      <c r="AC17" s="388">
        <f t="shared" si="9"/>
        <v>3.4641624631018306E-3</v>
      </c>
      <c r="AD17" s="389">
        <f t="shared" si="10"/>
        <v>3.6954268531985027E-3</v>
      </c>
      <c r="AE17" s="385">
        <f>'Op Cost_FY2025'!B11/'Revenue Miles_FY2025'!B11</f>
        <v>3.578441125871858</v>
      </c>
      <c r="AF17" s="386">
        <f>'Op Cost_FY2025'!C11/'Revenue Miles_FY2025'!C11</f>
        <v>3.9181180795800845</v>
      </c>
      <c r="AG17" s="386">
        <f>'Op Cost_FY2025'!D11/'Revenue Miles_FY2025'!D11</f>
        <v>4.1605601630756928</v>
      </c>
      <c r="AH17" s="386">
        <f>'Op Cost_FY2025'!E11/'Revenue Miles_FY2025'!E11</f>
        <v>4.456232131871313</v>
      </c>
      <c r="AI17" s="387">
        <f t="shared" si="11"/>
        <v>1.0394400432187054</v>
      </c>
      <c r="AJ17" s="388">
        <f t="shared" si="12"/>
        <v>3.5247981877434484E-3</v>
      </c>
      <c r="AK17" s="389">
        <f t="shared" si="13"/>
        <v>3.7512702651944945E-3</v>
      </c>
      <c r="AL17" s="385">
        <f>'Op Cost_FY2025'!B11/Ridership_FY2025!B11</f>
        <v>9.9847864427574571</v>
      </c>
      <c r="AM17" s="386">
        <f>'Op Cost_FY2025'!C11/Ridership_FY2025!C11</f>
        <v>13.299922693220932</v>
      </c>
      <c r="AN17" s="386">
        <f>'Op Cost_FY2025'!D11/Ridership_FY2025!D11</f>
        <v>22.941620386363031</v>
      </c>
      <c r="AO17" s="386">
        <f>'Op Cost_FY2025'!E11/Ridership_FY2025!E11</f>
        <v>26.242724136553139</v>
      </c>
      <c r="AP17" s="390">
        <f t="shared" si="14"/>
        <v>1.4157977453231483</v>
      </c>
      <c r="AQ17" s="388">
        <f t="shared" si="15"/>
        <v>2.5878105772579956E-3</v>
      </c>
      <c r="AR17" s="389">
        <f t="shared" si="16"/>
        <v>2.8096615159735705E-3</v>
      </c>
      <c r="AT17" s="391">
        <f t="shared" si="26"/>
        <v>0</v>
      </c>
      <c r="AU17" s="392">
        <f t="shared" si="17"/>
        <v>0</v>
      </c>
      <c r="AV17" s="392">
        <f t="shared" si="18"/>
        <v>0</v>
      </c>
      <c r="AW17" s="392">
        <f t="shared" si="19"/>
        <v>0</v>
      </c>
      <c r="AX17" s="393">
        <f t="shared" si="20"/>
        <v>0</v>
      </c>
      <c r="AY17" s="148">
        <f t="shared" si="27"/>
        <v>-1</v>
      </c>
      <c r="AZ17" s="394">
        <f t="shared" si="21"/>
        <v>0</v>
      </c>
      <c r="BA17" s="395">
        <f t="shared" si="21"/>
        <v>0</v>
      </c>
      <c r="BB17" s="395">
        <f t="shared" si="21"/>
        <v>0</v>
      </c>
      <c r="BC17" s="395">
        <f t="shared" si="21"/>
        <v>0</v>
      </c>
      <c r="BD17" s="395">
        <f t="shared" si="21"/>
        <v>0</v>
      </c>
      <c r="BE17" s="396">
        <f t="shared" si="28"/>
        <v>447866.74792209518</v>
      </c>
      <c r="BG17" s="397">
        <f>'Op Cost_FY2025'!E11</f>
        <v>1970225</v>
      </c>
      <c r="BH17" s="398">
        <f t="shared" si="22"/>
        <v>0.227317564198046</v>
      </c>
      <c r="BI17" s="399">
        <f t="shared" si="23"/>
        <v>447866.74792209518</v>
      </c>
      <c r="BJ17" s="400">
        <f t="shared" si="24"/>
        <v>0</v>
      </c>
      <c r="BL17" s="548">
        <f t="shared" si="29"/>
        <v>0.31295113544721848</v>
      </c>
      <c r="BM17" s="548">
        <f t="shared" si="30"/>
        <v>0.22887256862619423</v>
      </c>
      <c r="BN17" s="549">
        <f t="shared" si="31"/>
        <v>0.41827047408623291</v>
      </c>
      <c r="BO17" s="554">
        <f t="shared" si="25"/>
        <v>447866.74792209518</v>
      </c>
      <c r="BP17" s="562">
        <f t="shared" si="32"/>
        <v>0.34459116306146964</v>
      </c>
      <c r="BQ17" s="552">
        <f t="shared" si="33"/>
        <v>1.2625187478364323E-3</v>
      </c>
      <c r="BR17" s="402">
        <f t="shared" si="34"/>
        <v>1.2625187478364323E-3</v>
      </c>
      <c r="BS17" s="553">
        <f t="shared" si="35"/>
        <v>1.4247896749616596E-3</v>
      </c>
      <c r="BT17" s="556">
        <f t="shared" si="36"/>
        <v>460112.26593036315</v>
      </c>
      <c r="BU17" s="540">
        <f t="shared" si="37"/>
        <v>591067.5</v>
      </c>
      <c r="BV17" s="540">
        <f t="shared" si="38"/>
        <v>460112.26593036315</v>
      </c>
      <c r="BW17" s="540">
        <f t="shared" si="39"/>
        <v>0</v>
      </c>
      <c r="BX17" s="541">
        <f t="shared" si="40"/>
        <v>1.2625187478364323E-3</v>
      </c>
      <c r="BY17" s="542">
        <f t="shared" si="41"/>
        <v>2.5414773716781296E-3</v>
      </c>
      <c r="BZ17" s="563">
        <f t="shared" si="42"/>
        <v>462385.14455377223</v>
      </c>
      <c r="CA17" s="114"/>
    </row>
    <row r="18" spans="1:79">
      <c r="A18" s="403" t="s">
        <v>104</v>
      </c>
      <c r="B18" s="382" t="s">
        <v>68</v>
      </c>
      <c r="C18" s="179">
        <f>'Sizing - Reim Expen_FY2025'!B12</f>
        <v>192534</v>
      </c>
      <c r="D18" s="178">
        <f>Ridership_FY2025!$E12</f>
        <v>10861</v>
      </c>
      <c r="E18" s="178">
        <f>'Revenue Hours_FY2025'!$E12</f>
        <v>3108</v>
      </c>
      <c r="F18" s="178">
        <f>'Revenue Miles_FY2025'!$E12</f>
        <v>54991</v>
      </c>
      <c r="G18" s="404">
        <f t="shared" si="0"/>
        <v>4.4270615944580407E-4</v>
      </c>
      <c r="H18" s="384">
        <f t="shared" si="1"/>
        <v>4.4270615944580412E-4</v>
      </c>
      <c r="J18" s="385">
        <f>Ridership_FY2025!B12/'Revenue Hours_FY2025'!B12</f>
        <v>2.5672572178477688</v>
      </c>
      <c r="K18" s="386">
        <f>Ridership_FY2025!C12/'Revenue Hours_FY2025'!C12</f>
        <v>1.3415032679738561</v>
      </c>
      <c r="L18" s="386">
        <f>Ridership_FY2025!D12/'Revenue Hours_FY2025'!D12</f>
        <v>1.759546925566343</v>
      </c>
      <c r="M18" s="386">
        <f>Ridership_FY2025!E12/'Revenue Hours_FY2025'!E12</f>
        <v>3.4945302445302446</v>
      </c>
      <c r="N18" s="387">
        <f t="shared" si="2"/>
        <v>1.2320810455604696</v>
      </c>
      <c r="O18" s="388">
        <f t="shared" si="3"/>
        <v>5.4544986780604636E-4</v>
      </c>
      <c r="P18" s="389">
        <f t="shared" si="4"/>
        <v>5.1526019853465304E-4</v>
      </c>
      <c r="Q18" s="385">
        <f>Ridership_FY2025!B12/'Revenue Miles_FY2025'!B12</f>
        <v>0.14723314580314975</v>
      </c>
      <c r="R18" s="386">
        <f>Ridership_FY2025!C12/'Revenue Miles_FY2025'!C12</f>
        <v>8.4451119157340354E-2</v>
      </c>
      <c r="S18" s="386">
        <f>Ridership_FY2025!D12/'Revenue Miles_FY2025'!D12</f>
        <v>0.10382691059084138</v>
      </c>
      <c r="T18" s="386">
        <f>Ridership_FY2025!E12/'Revenue Miles_FY2025'!E12</f>
        <v>0.19750504628030041</v>
      </c>
      <c r="U18" s="387">
        <f t="shared" si="5"/>
        <v>1.2222489720634329</v>
      </c>
      <c r="V18" s="388">
        <f t="shared" si="6"/>
        <v>5.4109714830878435E-4</v>
      </c>
      <c r="W18" s="389">
        <f t="shared" si="7"/>
        <v>5.1304081622145607E-4</v>
      </c>
      <c r="X18" s="385">
        <f>'Op Cost_FY2025'!B12/'Revenue Hours_FY2025'!B12</f>
        <v>44.952755905511808</v>
      </c>
      <c r="Y18" s="386">
        <f>'Op Cost_FY2025'!C12/'Revenue Hours_FY2025'!C12</f>
        <v>49.306209150326801</v>
      </c>
      <c r="Z18" s="386">
        <f>'Op Cost_FY2025'!D12/'Revenue Hours_FY2025'!D12</f>
        <v>54.219417475728157</v>
      </c>
      <c r="AA18" s="386">
        <f>'Op Cost_FY2025'!E12/'Revenue Hours_FY2025'!E12</f>
        <v>62.816602316602314</v>
      </c>
      <c r="AB18" s="387">
        <f t="shared" si="8"/>
        <v>1.0800743947036444</v>
      </c>
      <c r="AC18" s="388">
        <f t="shared" si="9"/>
        <v>4.0988487609436921E-4</v>
      </c>
      <c r="AD18" s="389">
        <f t="shared" si="10"/>
        <v>4.3724842410618425E-4</v>
      </c>
      <c r="AE18" s="385">
        <f>'Op Cost_FY2025'!B12/'Revenue Miles_FY2025'!B12</f>
        <v>2.5780570869475228</v>
      </c>
      <c r="AF18" s="386">
        <f>'Op Cost_FY2025'!C12/'Revenue Miles_FY2025'!C12</f>
        <v>3.103954081632653</v>
      </c>
      <c r="AG18" s="386">
        <f>'Op Cost_FY2025'!D12/'Revenue Miles_FY2025'!D12</f>
        <v>3.1993660008402398</v>
      </c>
      <c r="AH18" s="386">
        <f>'Op Cost_FY2025'!E12/'Revenue Miles_FY2025'!E12</f>
        <v>3.5502900474623118</v>
      </c>
      <c r="AI18" s="387">
        <f t="shared" si="11"/>
        <v>1.0719789765841485</v>
      </c>
      <c r="AJ18" s="388">
        <f t="shared" si="12"/>
        <v>4.1298026278134987E-4</v>
      </c>
      <c r="AK18" s="389">
        <f t="shared" si="13"/>
        <v>4.395146891730769E-4</v>
      </c>
      <c r="AL18" s="385">
        <f>'Op Cost_FY2025'!B12/Ridership_FY2025!B12</f>
        <v>17.510031948881789</v>
      </c>
      <c r="AM18" s="386">
        <f>'Op Cost_FY2025'!C12/Ridership_FY2025!C12</f>
        <v>36.754445797807549</v>
      </c>
      <c r="AN18" s="386">
        <f>'Op Cost_FY2025'!D12/Ridership_FY2025!D12</f>
        <v>30.814419716755562</v>
      </c>
      <c r="AO18" s="386">
        <f>'Op Cost_FY2025'!E12/Ridership_FY2025!E12</f>
        <v>17.97569284596262</v>
      </c>
      <c r="AP18" s="390">
        <f t="shared" si="14"/>
        <v>0.90344938129174057</v>
      </c>
      <c r="AQ18" s="388">
        <f t="shared" si="15"/>
        <v>4.9001766851932359E-4</v>
      </c>
      <c r="AR18" s="389">
        <f t="shared" si="16"/>
        <v>5.3202649277547061E-4</v>
      </c>
      <c r="AT18" s="391">
        <f t="shared" si="26"/>
        <v>0</v>
      </c>
      <c r="AU18" s="392">
        <f t="shared" si="17"/>
        <v>0</v>
      </c>
      <c r="AV18" s="392">
        <f t="shared" si="18"/>
        <v>0</v>
      </c>
      <c r="AW18" s="392">
        <f t="shared" si="19"/>
        <v>0</v>
      </c>
      <c r="AX18" s="393">
        <f t="shared" si="20"/>
        <v>0</v>
      </c>
      <c r="AY18" s="148">
        <f t="shared" si="27"/>
        <v>-1</v>
      </c>
      <c r="AZ18" s="394">
        <f t="shared" si="21"/>
        <v>0</v>
      </c>
      <c r="BA18" s="395">
        <f t="shared" si="21"/>
        <v>0</v>
      </c>
      <c r="BB18" s="395">
        <f t="shared" si="21"/>
        <v>0</v>
      </c>
      <c r="BC18" s="395">
        <f t="shared" si="21"/>
        <v>0</v>
      </c>
      <c r="BD18" s="395">
        <f t="shared" si="21"/>
        <v>0</v>
      </c>
      <c r="BE18" s="396">
        <f t="shared" si="28"/>
        <v>54116.622482952582</v>
      </c>
      <c r="BG18" s="397">
        <f>'Op Cost_FY2025'!E12</f>
        <v>195234</v>
      </c>
      <c r="BH18" s="398">
        <f t="shared" si="22"/>
        <v>0.27718851472055372</v>
      </c>
      <c r="BI18" s="399">
        <f t="shared" si="23"/>
        <v>54116.622482952582</v>
      </c>
      <c r="BJ18" s="400">
        <f t="shared" si="24"/>
        <v>0</v>
      </c>
      <c r="BL18" s="548">
        <f t="shared" si="29"/>
        <v>0.32643767903085441</v>
      </c>
      <c r="BM18" s="548">
        <f t="shared" si="30"/>
        <v>0.26620306371807795</v>
      </c>
      <c r="BN18" s="549">
        <f t="shared" si="31"/>
        <v>0.61063330131253712</v>
      </c>
      <c r="BO18" s="554">
        <f t="shared" si="25"/>
        <v>54116.622482952582</v>
      </c>
      <c r="BP18" s="562">
        <f t="shared" si="32"/>
        <v>0.45347683634350167</v>
      </c>
      <c r="BQ18" s="552">
        <f t="shared" si="33"/>
        <v>2.0075698861526508E-4</v>
      </c>
      <c r="BR18" s="402">
        <f t="shared" si="34"/>
        <v>2.0075698861526508E-4</v>
      </c>
      <c r="BS18" s="553">
        <f t="shared" si="35"/>
        <v>2.2656018775610534E-4</v>
      </c>
      <c r="BT18" s="556">
        <f t="shared" si="36"/>
        <v>56063.819959098393</v>
      </c>
      <c r="BU18" s="540">
        <f t="shared" si="37"/>
        <v>58570.2</v>
      </c>
      <c r="BV18" s="540">
        <f t="shared" si="38"/>
        <v>56063.819959098393</v>
      </c>
      <c r="BW18" s="540">
        <f t="shared" si="39"/>
        <v>0</v>
      </c>
      <c r="BX18" s="541">
        <f t="shared" si="40"/>
        <v>2.0075698861526508E-4</v>
      </c>
      <c r="BY18" s="542">
        <f t="shared" si="41"/>
        <v>4.041281324703484E-4</v>
      </c>
      <c r="BZ18" s="563">
        <f t="shared" si="42"/>
        <v>56425.237378606478</v>
      </c>
      <c r="CA18" s="114"/>
    </row>
    <row r="19" spans="1:79">
      <c r="A19" s="403" t="s">
        <v>104</v>
      </c>
      <c r="B19" s="382" t="s">
        <v>69</v>
      </c>
      <c r="C19" s="179">
        <f>'Sizing - Reim Expen_FY2025'!B13</f>
        <v>119888784</v>
      </c>
      <c r="D19" s="178">
        <f>Ridership_FY2025!$E13</f>
        <v>7133773</v>
      </c>
      <c r="E19" s="178">
        <f>'Revenue Hours_FY2025'!$E13</f>
        <v>955047</v>
      </c>
      <c r="F19" s="178">
        <f>'Revenue Miles_FY2025'!$E13</f>
        <v>13757219</v>
      </c>
      <c r="G19" s="404">
        <f t="shared" si="0"/>
        <v>0.19711693032351923</v>
      </c>
      <c r="H19" s="384">
        <f t="shared" si="1"/>
        <v>0.19711693032351926</v>
      </c>
      <c r="J19" s="385">
        <f>Ridership_FY2025!B13/'Revenue Hours_FY2025'!B13</f>
        <v>12.193537039037592</v>
      </c>
      <c r="K19" s="386">
        <f>Ridership_FY2025!C13/'Revenue Hours_FY2025'!C13</f>
        <v>6.640780447028594</v>
      </c>
      <c r="L19" s="386">
        <f>Ridership_FY2025!D13/'Revenue Hours_FY2025'!D13</f>
        <v>7.1961861955660096</v>
      </c>
      <c r="M19" s="386">
        <f>Ridership_FY2025!E13/'Revenue Hours_FY2025'!E13</f>
        <v>7.4695517602798605</v>
      </c>
      <c r="N19" s="387">
        <f t="shared" si="2"/>
        <v>0.92310493377221914</v>
      </c>
      <c r="O19" s="388">
        <f t="shared" si="3"/>
        <v>0.1819596109116754</v>
      </c>
      <c r="P19" s="389">
        <f t="shared" si="4"/>
        <v>0.17188847367541479</v>
      </c>
      <c r="Q19" s="385">
        <f>Ridership_FY2025!B13/'Revenue Miles_FY2025'!B13</f>
        <v>0.90434093823673278</v>
      </c>
      <c r="R19" s="386">
        <f>Ridership_FY2025!C13/'Revenue Miles_FY2025'!C13</f>
        <v>0.46622665154015291</v>
      </c>
      <c r="S19" s="386">
        <f>Ridership_FY2025!D13/'Revenue Miles_FY2025'!D13</f>
        <v>0.49455273703023678</v>
      </c>
      <c r="T19" s="386">
        <f>Ridership_FY2025!E13/'Revenue Miles_FY2025'!E13</f>
        <v>0.51854760762331398</v>
      </c>
      <c r="U19" s="387">
        <f t="shared" si="5"/>
        <v>0.90269772340845067</v>
      </c>
      <c r="V19" s="388">
        <f t="shared" si="6"/>
        <v>0.17793700424830303</v>
      </c>
      <c r="W19" s="389">
        <f t="shared" si="7"/>
        <v>0.16871082425933395</v>
      </c>
      <c r="X19" s="385">
        <f>'Op Cost_FY2025'!B13/'Revenue Hours_FY2025'!B13</f>
        <v>89.156752379659721</v>
      </c>
      <c r="Y19" s="386">
        <f>'Op Cost_FY2025'!C13/'Revenue Hours_FY2025'!C13</f>
        <v>107.97198556298591</v>
      </c>
      <c r="Z19" s="386">
        <f>'Op Cost_FY2025'!D13/'Revenue Hours_FY2025'!D13</f>
        <v>112.49719845156518</v>
      </c>
      <c r="AA19" s="386">
        <f>'Op Cost_FY2025'!E13/'Revenue Hours_FY2025'!E13</f>
        <v>125.82563161812979</v>
      </c>
      <c r="AB19" s="387">
        <f t="shared" si="8"/>
        <v>1.0776912350820134</v>
      </c>
      <c r="AC19" s="388">
        <f t="shared" si="9"/>
        <v>0.18290668412879732</v>
      </c>
      <c r="AD19" s="389">
        <f t="shared" si="10"/>
        <v>0.19511737089658115</v>
      </c>
      <c r="AE19" s="385">
        <f>'Op Cost_FY2025'!B13/'Revenue Miles_FY2025'!B13</f>
        <v>6.6123636512548227</v>
      </c>
      <c r="AF19" s="386">
        <f>'Op Cost_FY2025'!C13/'Revenue Miles_FY2025'!C13</f>
        <v>7.5803465708156237</v>
      </c>
      <c r="AG19" s="386">
        <f>'Op Cost_FY2025'!D13/'Revenue Miles_FY2025'!D13</f>
        <v>7.7312893094311175</v>
      </c>
      <c r="AH19" s="386">
        <f>'Op Cost_FY2025'!E13/'Revenue Miles_FY2025'!E13</f>
        <v>8.735006108429328</v>
      </c>
      <c r="AI19" s="387">
        <f t="shared" si="11"/>
        <v>1.0599998872255201</v>
      </c>
      <c r="AJ19" s="388">
        <f t="shared" si="12"/>
        <v>0.18595938801414388</v>
      </c>
      <c r="AK19" s="389">
        <f t="shared" si="13"/>
        <v>0.19790747884996274</v>
      </c>
      <c r="AL19" s="385">
        <f>'Op Cost_FY2025'!B13/Ridership_FY2025!B13</f>
        <v>7.311803957639567</v>
      </c>
      <c r="AM19" s="386">
        <f>'Op Cost_FY2025'!C13/Ridership_FY2025!C13</f>
        <v>16.258930170067252</v>
      </c>
      <c r="AN19" s="386">
        <f>'Op Cost_FY2025'!D13/Ridership_FY2025!D13</f>
        <v>15.632891561488677</v>
      </c>
      <c r="AO19" s="386">
        <f>'Op Cost_FY2025'!E13/Ridership_FY2025!E13</f>
        <v>16.845138189847084</v>
      </c>
      <c r="AP19" s="387">
        <f t="shared" si="14"/>
        <v>1.1852646901926562</v>
      </c>
      <c r="AQ19" s="388">
        <f t="shared" si="15"/>
        <v>0.16630625374613947</v>
      </c>
      <c r="AR19" s="389">
        <f t="shared" si="16"/>
        <v>0.18056355636020685</v>
      </c>
      <c r="AT19" s="391">
        <f t="shared" si="26"/>
        <v>0</v>
      </c>
      <c r="AU19" s="392">
        <f t="shared" si="17"/>
        <v>0</v>
      </c>
      <c r="AV19" s="392">
        <f t="shared" si="18"/>
        <v>0</v>
      </c>
      <c r="AW19" s="392">
        <f t="shared" si="19"/>
        <v>0</v>
      </c>
      <c r="AX19" s="393">
        <f t="shared" si="20"/>
        <v>0</v>
      </c>
      <c r="AY19" s="148">
        <f t="shared" si="27"/>
        <v>-1</v>
      </c>
      <c r="AZ19" s="394">
        <f t="shared" si="21"/>
        <v>0</v>
      </c>
      <c r="BA19" s="395">
        <f t="shared" si="21"/>
        <v>0</v>
      </c>
      <c r="BB19" s="395">
        <f t="shared" si="21"/>
        <v>0</v>
      </c>
      <c r="BC19" s="395">
        <f t="shared" si="21"/>
        <v>0</v>
      </c>
      <c r="BD19" s="395">
        <f t="shared" si="21"/>
        <v>0</v>
      </c>
      <c r="BE19" s="396">
        <f t="shared" si="28"/>
        <v>24095672.209914774</v>
      </c>
      <c r="BG19" s="397">
        <f>'Op Cost_FY2025'!E13</f>
        <v>120169392</v>
      </c>
      <c r="BH19" s="398">
        <f t="shared" si="22"/>
        <v>0.20051422253941981</v>
      </c>
      <c r="BI19" s="399">
        <f t="shared" si="23"/>
        <v>24095672.209914774</v>
      </c>
      <c r="BJ19" s="400">
        <f t="shared" si="24"/>
        <v>0</v>
      </c>
      <c r="BL19" s="548">
        <f t="shared" si="29"/>
        <v>0.69775991890273847</v>
      </c>
      <c r="BM19" s="548">
        <f t="shared" si="30"/>
        <v>0.69891359452709967</v>
      </c>
      <c r="BN19" s="549">
        <f t="shared" si="31"/>
        <v>0.6516157090670891</v>
      </c>
      <c r="BO19" s="554">
        <f t="shared" si="25"/>
        <v>24095672.209914774</v>
      </c>
      <c r="BP19" s="562">
        <f t="shared" si="32"/>
        <v>0.67497623289100406</v>
      </c>
      <c r="BQ19" s="552">
        <f t="shared" si="33"/>
        <v>0.13304924306880755</v>
      </c>
      <c r="BR19" s="402">
        <f t="shared" si="34"/>
        <v>0.13304924306880755</v>
      </c>
      <c r="BS19" s="553">
        <f t="shared" si="35"/>
        <v>0.15014999825607409</v>
      </c>
      <c r="BT19" s="556">
        <f t="shared" si="36"/>
        <v>25386153.562985804</v>
      </c>
      <c r="BU19" s="540">
        <f t="shared" si="37"/>
        <v>36050817.600000001</v>
      </c>
      <c r="BV19" s="540">
        <f t="shared" si="38"/>
        <v>25386153.562985804</v>
      </c>
      <c r="BW19" s="540">
        <f t="shared" si="39"/>
        <v>0</v>
      </c>
      <c r="BX19" s="541">
        <f t="shared" si="40"/>
        <v>0.13304924306880755</v>
      </c>
      <c r="BY19" s="542">
        <f t="shared" si="41"/>
        <v>0.26783098560536078</v>
      </c>
      <c r="BZ19" s="563">
        <f t="shared" si="42"/>
        <v>25625678.545050491</v>
      </c>
      <c r="CA19" s="114"/>
    </row>
    <row r="20" spans="1:79">
      <c r="A20" s="403" t="s">
        <v>104</v>
      </c>
      <c r="B20" s="382" t="s">
        <v>70</v>
      </c>
      <c r="C20" s="179">
        <f>'Sizing - Reim Expen_FY2025'!B14</f>
        <v>1246809</v>
      </c>
      <c r="D20" s="178">
        <f>Ridership_FY2025!$E14</f>
        <v>91713</v>
      </c>
      <c r="E20" s="178">
        <f>'Revenue Hours_FY2025'!$E14</f>
        <v>20260</v>
      </c>
      <c r="F20" s="178">
        <f>'Revenue Miles_FY2025'!$E14</f>
        <v>510877</v>
      </c>
      <c r="G20" s="404">
        <f t="shared" si="0"/>
        <v>3.3956274807346006E-3</v>
      </c>
      <c r="H20" s="384">
        <f t="shared" si="1"/>
        <v>3.395627480734601E-3</v>
      </c>
      <c r="J20" s="385">
        <f>Ridership_FY2025!B14/'Revenue Hours_FY2025'!B14</f>
        <v>5.1587647801630121</v>
      </c>
      <c r="K20" s="386">
        <f>Ridership_FY2025!C14/'Revenue Hours_FY2025'!C14</f>
        <v>2.5445369916707494</v>
      </c>
      <c r="L20" s="386">
        <f>Ridership_FY2025!D14/'Revenue Hours_FY2025'!D14</f>
        <v>3.1323175227328584</v>
      </c>
      <c r="M20" s="386">
        <f>Ridership_FY2025!E14/'Revenue Hours_FY2025'!E14</f>
        <v>4.5268015794669303</v>
      </c>
      <c r="N20" s="387">
        <f t="shared" si="2"/>
        <v>1.0414257978498263</v>
      </c>
      <c r="O20" s="388">
        <f t="shared" si="3"/>
        <v>3.5362940583248273E-3</v>
      </c>
      <c r="P20" s="389">
        <f t="shared" si="4"/>
        <v>3.3405665417032965E-3</v>
      </c>
      <c r="Q20" s="385">
        <f>Ridership_FY2025!B14/'Revenue Miles_FY2025'!B14</f>
        <v>0.22008311029377553</v>
      </c>
      <c r="R20" s="386">
        <f>Ridership_FY2025!C14/'Revenue Miles_FY2025'!C14</f>
        <v>0.1120356208297289</v>
      </c>
      <c r="S20" s="386">
        <f>Ridership_FY2025!D14/'Revenue Miles_FY2025'!D14</f>
        <v>0.13193504175827817</v>
      </c>
      <c r="T20" s="386">
        <f>Ridership_FY2025!E14/'Revenue Miles_FY2025'!E14</f>
        <v>0.17952070654971744</v>
      </c>
      <c r="U20" s="387">
        <f t="shared" si="5"/>
        <v>1.0164527966738026</v>
      </c>
      <c r="V20" s="388">
        <f t="shared" si="6"/>
        <v>3.4514950492551041E-3</v>
      </c>
      <c r="W20" s="389">
        <f t="shared" si="7"/>
        <v>3.272532192765589E-3</v>
      </c>
      <c r="X20" s="385">
        <f>'Op Cost_FY2025'!B14/'Revenue Hours_FY2025'!B14</f>
        <v>42.671162897485935</v>
      </c>
      <c r="Y20" s="386">
        <f>'Op Cost_FY2025'!C14/'Revenue Hours_FY2025'!C14</f>
        <v>48.696570308672221</v>
      </c>
      <c r="Z20" s="386">
        <f>'Op Cost_FY2025'!D14/'Revenue Hours_FY2025'!D14</f>
        <v>59.030916687146721</v>
      </c>
      <c r="AA20" s="386">
        <f>'Op Cost_FY2025'!E14/'Revenue Hours_FY2025'!E14</f>
        <v>61.540424481737411</v>
      </c>
      <c r="AB20" s="387">
        <f t="shared" si="8"/>
        <v>1.0880724721451041</v>
      </c>
      <c r="AC20" s="388">
        <f t="shared" si="9"/>
        <v>3.1207732643398446E-3</v>
      </c>
      <c r="AD20" s="389">
        <f t="shared" si="10"/>
        <v>3.3291132984158791E-3</v>
      </c>
      <c r="AE20" s="385">
        <f>'Op Cost_FY2025'!B14/'Revenue Miles_FY2025'!B14</f>
        <v>1.8204362188489445</v>
      </c>
      <c r="AF20" s="386">
        <f>'Op Cost_FY2025'!C14/'Revenue Miles_FY2025'!C14</f>
        <v>2.1441034281165527</v>
      </c>
      <c r="AG20" s="386">
        <f>'Op Cost_FY2025'!D14/'Revenue Miles_FY2025'!D14</f>
        <v>2.4864166552799274</v>
      </c>
      <c r="AH20" s="386">
        <f>'Op Cost_FY2025'!E14/'Revenue Miles_FY2025'!E14</f>
        <v>2.4405267804187702</v>
      </c>
      <c r="AI20" s="387">
        <f t="shared" si="11"/>
        <v>1.063030778927097</v>
      </c>
      <c r="AJ20" s="388">
        <f t="shared" si="12"/>
        <v>3.1942889594991438E-3</v>
      </c>
      <c r="AK20" s="389">
        <f t="shared" si="13"/>
        <v>3.3995254632945113E-3</v>
      </c>
      <c r="AL20" s="385">
        <f>'Op Cost_FY2025'!B14/Ridership_FY2025!B14</f>
        <v>8.2715852952957416</v>
      </c>
      <c r="AM20" s="386">
        <f>'Op Cost_FY2025'!C14/Ridership_FY2025!C14</f>
        <v>19.13769399622598</v>
      </c>
      <c r="AN20" s="386">
        <f>'Op Cost_FY2025'!D14/Ridership_FY2025!D14</f>
        <v>18.84576396189998</v>
      </c>
      <c r="AO20" s="386">
        <f>'Op Cost_FY2025'!E14/Ridership_FY2025!E14</f>
        <v>13.594681233849073</v>
      </c>
      <c r="AP20" s="390">
        <f t="shared" si="14"/>
        <v>1.0553612396000409</v>
      </c>
      <c r="AQ20" s="388">
        <f t="shared" si="15"/>
        <v>3.2175025510899663E-3</v>
      </c>
      <c r="AR20" s="389">
        <f t="shared" si="16"/>
        <v>3.4933364809579723E-3</v>
      </c>
      <c r="AT20" s="391">
        <f t="shared" si="26"/>
        <v>0</v>
      </c>
      <c r="AU20" s="392">
        <f t="shared" si="17"/>
        <v>0</v>
      </c>
      <c r="AV20" s="392">
        <f t="shared" si="18"/>
        <v>0</v>
      </c>
      <c r="AW20" s="392">
        <f t="shared" si="19"/>
        <v>0</v>
      </c>
      <c r="AX20" s="393">
        <f t="shared" si="20"/>
        <v>0</v>
      </c>
      <c r="AY20" s="148">
        <f t="shared" si="27"/>
        <v>-1</v>
      </c>
      <c r="AZ20" s="394">
        <f t="shared" si="21"/>
        <v>0</v>
      </c>
      <c r="BA20" s="395">
        <f t="shared" si="21"/>
        <v>0</v>
      </c>
      <c r="BB20" s="395">
        <f t="shared" si="21"/>
        <v>0</v>
      </c>
      <c r="BC20" s="395">
        <f t="shared" si="21"/>
        <v>0</v>
      </c>
      <c r="BD20" s="395">
        <f t="shared" si="21"/>
        <v>0</v>
      </c>
      <c r="BE20" s="396">
        <f t="shared" si="28"/>
        <v>415083.20258677035</v>
      </c>
      <c r="BG20" s="397">
        <f>'Op Cost_FY2025'!E14</f>
        <v>1246809</v>
      </c>
      <c r="BH20" s="398">
        <f t="shared" si="22"/>
        <v>0.33291643113481723</v>
      </c>
      <c r="BI20" s="399">
        <f t="shared" si="23"/>
        <v>374042.7</v>
      </c>
      <c r="BJ20" s="400">
        <f t="shared" si="24"/>
        <v>41040.502586770337</v>
      </c>
      <c r="BL20" s="548">
        <f t="shared" si="29"/>
        <v>0.4228661644429505</v>
      </c>
      <c r="BM20" s="548">
        <f t="shared" si="30"/>
        <v>0.24196324592408849</v>
      </c>
      <c r="BN20" s="549">
        <f t="shared" si="31"/>
        <v>0.80741552354902169</v>
      </c>
      <c r="BO20" s="554">
        <f t="shared" si="25"/>
        <v>0</v>
      </c>
      <c r="BP20" s="562">
        <f t="shared" si="32"/>
        <v>0.56991511436627063</v>
      </c>
      <c r="BQ20" s="552">
        <f t="shared" si="33"/>
        <v>1.9352194240281116E-3</v>
      </c>
      <c r="BR20" s="402">
        <f t="shared" si="34"/>
        <v>0</v>
      </c>
      <c r="BS20" s="553">
        <f t="shared" si="35"/>
        <v>0</v>
      </c>
      <c r="BT20" s="556">
        <f t="shared" si="36"/>
        <v>374042.7</v>
      </c>
      <c r="BU20" s="540">
        <f t="shared" si="37"/>
        <v>374042.7</v>
      </c>
      <c r="BV20" s="540">
        <f t="shared" si="38"/>
        <v>374042.7</v>
      </c>
      <c r="BW20" s="540">
        <f t="shared" si="39"/>
        <v>0</v>
      </c>
      <c r="BX20" s="541">
        <f t="shared" si="40"/>
        <v>0</v>
      </c>
      <c r="BY20" s="542">
        <f t="shared" si="41"/>
        <v>0</v>
      </c>
      <c r="BZ20" s="563">
        <f t="shared" si="42"/>
        <v>374042.7</v>
      </c>
      <c r="CA20" s="114"/>
    </row>
    <row r="21" spans="1:79">
      <c r="A21" s="403" t="s">
        <v>104</v>
      </c>
      <c r="B21" s="382" t="s">
        <v>71</v>
      </c>
      <c r="C21" s="179">
        <f>'Sizing - Reim Expen_FY2025'!B15</f>
        <v>50424</v>
      </c>
      <c r="D21" s="178">
        <f>Ridership_FY2025!$E15</f>
        <v>3145</v>
      </c>
      <c r="E21" s="178">
        <f>'Revenue Hours_FY2025'!$E15</f>
        <v>502</v>
      </c>
      <c r="F21" s="178">
        <f>'Revenue Miles_FY2025'!$E15</f>
        <v>4641</v>
      </c>
      <c r="G21" s="383">
        <f t="shared" si="0"/>
        <v>8.4622050029392335E-5</v>
      </c>
      <c r="H21" s="384">
        <f t="shared" si="1"/>
        <v>8.4622050029392349E-5</v>
      </c>
      <c r="J21" s="385">
        <f>Ridership_FY2025!B15/'Revenue Hours_FY2025'!B15</f>
        <v>8.9790310918293557</v>
      </c>
      <c r="K21" s="386">
        <f>Ridership_FY2025!C15/'Revenue Hours_FY2025'!C15</f>
        <v>1.0119225037257824</v>
      </c>
      <c r="L21" s="386">
        <f>Ridership_FY2025!D15/'Revenue Hours_FY2025'!D15</f>
        <v>3.4102272727272727</v>
      </c>
      <c r="M21" s="386">
        <f>Ridership_FY2025!E15/'Revenue Hours_FY2025'!E15</f>
        <v>6.2649402390438249</v>
      </c>
      <c r="N21" s="387">
        <f t="shared" si="2"/>
        <v>1.4571700207400993</v>
      </c>
      <c r="O21" s="388">
        <f t="shared" si="3"/>
        <v>1.2330871439639936E-4</v>
      </c>
      <c r="P21" s="389">
        <f t="shared" si="4"/>
        <v>1.1648379880721507E-4</v>
      </c>
      <c r="Q21" s="385">
        <f>Ridership_FY2025!B15/'Revenue Miles_FY2025'!B15</f>
        <v>0.71335018382352944</v>
      </c>
      <c r="R21" s="386">
        <f>Ridership_FY2025!C15/'Revenue Miles_FY2025'!C15</f>
        <v>0.14279705573080967</v>
      </c>
      <c r="S21" s="386">
        <f>Ridership_FY2025!D15/'Revenue Miles_FY2025'!D15</f>
        <v>0.44282130736314002</v>
      </c>
      <c r="T21" s="386">
        <f>Ridership_FY2025!E15/'Revenue Miles_FY2025'!E15</f>
        <v>0.67765567765567769</v>
      </c>
      <c r="U21" s="387">
        <f t="shared" si="5"/>
        <v>1.3760274920295139</v>
      </c>
      <c r="V21" s="388">
        <f t="shared" si="6"/>
        <v>1.1644226727234081E-4</v>
      </c>
      <c r="W21" s="389">
        <f t="shared" si="7"/>
        <v>1.1040463996307636E-4</v>
      </c>
      <c r="X21" s="385">
        <f>'Op Cost_FY2025'!B15/'Revenue Hours_FY2025'!B15</f>
        <v>67.96963123644251</v>
      </c>
      <c r="Y21" s="386">
        <f>'Op Cost_FY2025'!C15/'Revenue Hours_FY2025'!C15</f>
        <v>58.488077496274215</v>
      </c>
      <c r="Z21" s="386">
        <f>'Op Cost_FY2025'!D15/'Revenue Hours_FY2025'!D15</f>
        <v>76.226136363636357</v>
      </c>
      <c r="AA21" s="386">
        <f>'Op Cost_FY2025'!E15/'Revenue Hours_FY2025'!E15</f>
        <v>100.44621513944223</v>
      </c>
      <c r="AB21" s="387">
        <f t="shared" si="8"/>
        <v>1.1402815557474089</v>
      </c>
      <c r="AC21" s="388">
        <f t="shared" si="9"/>
        <v>7.4211539775302239E-5</v>
      </c>
      <c r="AD21" s="389">
        <f t="shared" si="10"/>
        <v>7.9165835847462443E-5</v>
      </c>
      <c r="AE21" s="385">
        <f>'Op Cost_FY2025'!B15/'Revenue Miles_FY2025'!B15</f>
        <v>5.399931066176471</v>
      </c>
      <c r="AF21" s="386">
        <f>'Op Cost_FY2025'!C15/'Revenue Miles_FY2025'!C15</f>
        <v>8.2535226077812833</v>
      </c>
      <c r="AG21" s="386">
        <f>'Op Cost_FY2025'!D15/'Revenue Miles_FY2025'!D15</f>
        <v>9.8980374797107871</v>
      </c>
      <c r="AH21" s="386">
        <f>'Op Cost_FY2025'!E15/'Revenue Miles_FY2025'!E15</f>
        <v>10.864899806076277</v>
      </c>
      <c r="AI21" s="387">
        <f t="shared" si="11"/>
        <v>1.2123808252271491</v>
      </c>
      <c r="AJ21" s="388">
        <f t="shared" si="12"/>
        <v>6.9798241830109565E-5</v>
      </c>
      <c r="AK21" s="389">
        <f t="shared" si="13"/>
        <v>7.4282853994477244E-5</v>
      </c>
      <c r="AL21" s="385">
        <f>'Op Cost_FY2025'!B15/Ridership_FY2025!B15</f>
        <v>7.5698180061201485</v>
      </c>
      <c r="AM21" s="386">
        <f>'Op Cost_FY2025'!C15/Ridership_FY2025!C15</f>
        <v>57.798969072164951</v>
      </c>
      <c r="AN21" s="386">
        <f>'Op Cost_FY2025'!D15/Ridership_FY2025!D15</f>
        <v>22.352215928023991</v>
      </c>
      <c r="AO21" s="386">
        <f>'Op Cost_FY2025'!E15/Ridership_FY2025!E15</f>
        <v>16.033068362480126</v>
      </c>
      <c r="AP21" s="390">
        <f t="shared" si="14"/>
        <v>1.5437268946082094</v>
      </c>
      <c r="AQ21" s="388">
        <f t="shared" si="15"/>
        <v>5.4816723297982717E-5</v>
      </c>
      <c r="AR21" s="389">
        <f t="shared" si="16"/>
        <v>5.951611730612343E-5</v>
      </c>
      <c r="AT21" s="391">
        <f t="shared" si="26"/>
        <v>0</v>
      </c>
      <c r="AU21" s="392">
        <f t="shared" si="17"/>
        <v>0</v>
      </c>
      <c r="AV21" s="392">
        <f t="shared" si="18"/>
        <v>0</v>
      </c>
      <c r="AW21" s="392">
        <f t="shared" si="19"/>
        <v>0</v>
      </c>
      <c r="AX21" s="393">
        <f t="shared" si="20"/>
        <v>0</v>
      </c>
      <c r="AY21" s="148">
        <f t="shared" si="27"/>
        <v>-1</v>
      </c>
      <c r="AZ21" s="394">
        <f t="shared" si="21"/>
        <v>0</v>
      </c>
      <c r="BA21" s="395">
        <f t="shared" si="21"/>
        <v>0</v>
      </c>
      <c r="BB21" s="395">
        <f t="shared" si="21"/>
        <v>0</v>
      </c>
      <c r="BC21" s="395">
        <f t="shared" si="21"/>
        <v>0</v>
      </c>
      <c r="BD21" s="395">
        <f t="shared" si="21"/>
        <v>0</v>
      </c>
      <c r="BE21" s="396">
        <f t="shared" si="28"/>
        <v>10344.241744697856</v>
      </c>
      <c r="BG21" s="397">
        <f>'Op Cost_FY2025'!E15</f>
        <v>50424</v>
      </c>
      <c r="BH21" s="398">
        <f t="shared" si="22"/>
        <v>0.20514520356770299</v>
      </c>
      <c r="BI21" s="399">
        <f t="shared" si="23"/>
        <v>10344.241744697856</v>
      </c>
      <c r="BJ21" s="400">
        <f t="shared" si="24"/>
        <v>0</v>
      </c>
      <c r="BL21" s="548">
        <f t="shared" si="29"/>
        <v>0.58523246553712072</v>
      </c>
      <c r="BM21" s="548">
        <f t="shared" si="30"/>
        <v>0.91336409340081037</v>
      </c>
      <c r="BN21" s="549">
        <f t="shared" si="31"/>
        <v>0.68461983805901816</v>
      </c>
      <c r="BO21" s="554">
        <f t="shared" si="25"/>
        <v>10344.241744697856</v>
      </c>
      <c r="BP21" s="562">
        <f t="shared" si="32"/>
        <v>0.7169590587639918</v>
      </c>
      <c r="BQ21" s="552">
        <f t="shared" si="33"/>
        <v>6.0670545339752563E-5</v>
      </c>
      <c r="BR21" s="402">
        <f t="shared" si="34"/>
        <v>6.0670545339752563E-5</v>
      </c>
      <c r="BS21" s="553">
        <f t="shared" si="35"/>
        <v>6.8468501337115914E-5</v>
      </c>
      <c r="BT21" s="556">
        <f t="shared" si="36"/>
        <v>10932.70211948639</v>
      </c>
      <c r="BU21" s="540">
        <f t="shared" si="37"/>
        <v>15127.199999999999</v>
      </c>
      <c r="BV21" s="540">
        <f t="shared" si="38"/>
        <v>10932.70211948639</v>
      </c>
      <c r="BW21" s="540">
        <f t="shared" si="39"/>
        <v>0</v>
      </c>
      <c r="BX21" s="541">
        <f t="shared" si="40"/>
        <v>6.0670545339752563E-5</v>
      </c>
      <c r="BY21" s="542">
        <f t="shared" si="41"/>
        <v>1.2213111161524695E-4</v>
      </c>
      <c r="BZ21" s="563">
        <f t="shared" si="42"/>
        <v>11041.925674233287</v>
      </c>
      <c r="CA21" s="114"/>
    </row>
    <row r="22" spans="1:79">
      <c r="A22" s="403" t="s">
        <v>104</v>
      </c>
      <c r="B22" s="382" t="s">
        <v>72</v>
      </c>
      <c r="C22" s="179">
        <f>'Sizing - Reim Expen_FY2025'!B16</f>
        <v>7910674</v>
      </c>
      <c r="D22" s="178">
        <f>Ridership_FY2025!$E16</f>
        <v>1655082</v>
      </c>
      <c r="E22" s="178">
        <f>'Revenue Hours_FY2025'!$E16</f>
        <v>71283</v>
      </c>
      <c r="F22" s="178">
        <f>'Revenue Miles_FY2025'!$E16</f>
        <v>1099660</v>
      </c>
      <c r="G22" s="404">
        <f t="shared" si="0"/>
        <v>2.2491692379718854E-2</v>
      </c>
      <c r="H22" s="384">
        <f t="shared" si="1"/>
        <v>2.2491692379718858E-2</v>
      </c>
      <c r="J22" s="385">
        <f>Ridership_FY2025!B16/'Revenue Hours_FY2025'!B16</f>
        <v>23.310953988801508</v>
      </c>
      <c r="K22" s="386">
        <f>Ridership_FY2025!C16/'Revenue Hours_FY2025'!C16</f>
        <v>14.316342020333447</v>
      </c>
      <c r="L22" s="386">
        <f>Ridership_FY2025!D16/'Revenue Hours_FY2025'!D16</f>
        <v>19.466079261836335</v>
      </c>
      <c r="M22" s="386">
        <f>Ridership_FY2025!E16/'Revenue Hours_FY2025'!E16</f>
        <v>23.218467236227433</v>
      </c>
      <c r="N22" s="387">
        <f t="shared" si="2"/>
        <v>1.0827952067365614</v>
      </c>
      <c r="O22" s="388">
        <f t="shared" si="3"/>
        <v>2.4353896700152821E-2</v>
      </c>
      <c r="P22" s="389">
        <f t="shared" si="4"/>
        <v>2.3005952314714397E-2</v>
      </c>
      <c r="Q22" s="385">
        <f>Ridership_FY2025!B16/'Revenue Miles_FY2025'!B16</f>
        <v>1.6285925776934442</v>
      </c>
      <c r="R22" s="386">
        <f>Ridership_FY2025!C16/'Revenue Miles_FY2025'!C16</f>
        <v>1.0462325686324412</v>
      </c>
      <c r="S22" s="386">
        <f>Ridership_FY2025!D16/'Revenue Miles_FY2025'!D16</f>
        <v>1.4050534441156883</v>
      </c>
      <c r="T22" s="386">
        <f>Ridership_FY2025!E16/'Revenue Miles_FY2025'!E16</f>
        <v>1.5050852081552479</v>
      </c>
      <c r="U22" s="387">
        <f t="shared" si="5"/>
        <v>1.0649155001693644</v>
      </c>
      <c r="V22" s="388">
        <f t="shared" si="6"/>
        <v>2.3951751840203789E-2</v>
      </c>
      <c r="W22" s="389">
        <f t="shared" si="7"/>
        <v>2.2709833811616158E-2</v>
      </c>
      <c r="X22" s="385">
        <f>'Op Cost_FY2025'!B16/'Revenue Hours_FY2025'!B16</f>
        <v>79.983720905617247</v>
      </c>
      <c r="Y22" s="386">
        <f>'Op Cost_FY2025'!C16/'Revenue Hours_FY2025'!C16</f>
        <v>90.654407919074401</v>
      </c>
      <c r="Z22" s="386">
        <f>'Op Cost_FY2025'!D16/'Revenue Hours_FY2025'!D16</f>
        <v>94.089194776382797</v>
      </c>
      <c r="AA22" s="386">
        <f>'Op Cost_FY2025'!E16/'Revenue Hours_FY2025'!E16</f>
        <v>110.97560428152575</v>
      </c>
      <c r="AB22" s="387">
        <f t="shared" si="8"/>
        <v>1.0770025946706425</v>
      </c>
      <c r="AC22" s="388">
        <f t="shared" si="9"/>
        <v>2.0883600922611545E-2</v>
      </c>
      <c r="AD22" s="389">
        <f t="shared" si="10"/>
        <v>2.227777145642236E-2</v>
      </c>
      <c r="AE22" s="385">
        <f>'Op Cost_FY2025'!B16/'Revenue Miles_FY2025'!B16</f>
        <v>5.5879692553882192</v>
      </c>
      <c r="AF22" s="386">
        <f>'Op Cost_FY2025'!C16/'Revenue Miles_FY2025'!C16</f>
        <v>6.6249879976545323</v>
      </c>
      <c r="AG22" s="386">
        <f>'Op Cost_FY2025'!D16/'Revenue Miles_FY2025'!D16</f>
        <v>6.7913186521237527</v>
      </c>
      <c r="AH22" s="386">
        <f>'Op Cost_FY2025'!E16/'Revenue Miles_FY2025'!E16</f>
        <v>7.1937453394685633</v>
      </c>
      <c r="AI22" s="387">
        <f t="shared" si="11"/>
        <v>1.0470712277412029</v>
      </c>
      <c r="AJ22" s="388">
        <f t="shared" si="12"/>
        <v>2.1480575326512524E-2</v>
      </c>
      <c r="AK22" s="389">
        <f t="shared" si="13"/>
        <v>2.2860725411687571E-2</v>
      </c>
      <c r="AL22" s="385">
        <f>'Op Cost_FY2025'!B16/Ridership_FY2025!B16</f>
        <v>3.4311646337614974</v>
      </c>
      <c r="AM22" s="386">
        <f>'Op Cost_FY2025'!C16/Ridership_FY2025!C16</f>
        <v>6.3322326185221254</v>
      </c>
      <c r="AN22" s="386">
        <f>'Op Cost_FY2025'!D16/Ridership_FY2025!D16</f>
        <v>4.833494896984555</v>
      </c>
      <c r="AO22" s="386">
        <f>'Op Cost_FY2025'!E16/Ridership_FY2025!E16</f>
        <v>4.779626628771263</v>
      </c>
      <c r="AP22" s="387">
        <f t="shared" si="14"/>
        <v>1.0093254200826904</v>
      </c>
      <c r="AQ22" s="388">
        <f t="shared" si="15"/>
        <v>2.2283885783711058E-2</v>
      </c>
      <c r="AR22" s="389">
        <f t="shared" si="16"/>
        <v>2.4194265555241793E-2</v>
      </c>
      <c r="AT22" s="391">
        <f t="shared" si="26"/>
        <v>0</v>
      </c>
      <c r="AU22" s="392">
        <f t="shared" si="17"/>
        <v>0</v>
      </c>
      <c r="AV22" s="392">
        <f t="shared" si="18"/>
        <v>0</v>
      </c>
      <c r="AW22" s="392">
        <f t="shared" si="19"/>
        <v>0</v>
      </c>
      <c r="AX22" s="393">
        <f t="shared" si="20"/>
        <v>0</v>
      </c>
      <c r="AY22" s="148">
        <f t="shared" si="27"/>
        <v>-1</v>
      </c>
      <c r="AZ22" s="394">
        <f t="shared" si="21"/>
        <v>0</v>
      </c>
      <c r="BA22" s="395">
        <f t="shared" si="21"/>
        <v>0</v>
      </c>
      <c r="BB22" s="395">
        <f t="shared" si="21"/>
        <v>0</v>
      </c>
      <c r="BC22" s="395">
        <f t="shared" si="21"/>
        <v>0</v>
      </c>
      <c r="BD22" s="395">
        <f t="shared" si="21"/>
        <v>0</v>
      </c>
      <c r="BE22" s="396">
        <f t="shared" si="28"/>
        <v>2749395.7324642842</v>
      </c>
      <c r="BG22" s="397">
        <f>'Op Cost_FY2025'!E16</f>
        <v>7910674</v>
      </c>
      <c r="BH22" s="398">
        <f t="shared" si="22"/>
        <v>0.34755518081825698</v>
      </c>
      <c r="BI22" s="399">
        <f t="shared" si="23"/>
        <v>2373202.1999999997</v>
      </c>
      <c r="BJ22" s="400">
        <f t="shared" si="24"/>
        <v>376193.53246428445</v>
      </c>
      <c r="BL22" s="548">
        <f t="shared" si="29"/>
        <v>2.1689274451441714</v>
      </c>
      <c r="BM22" s="548">
        <f t="shared" si="30"/>
        <v>2.0285977554166963</v>
      </c>
      <c r="BN22" s="549">
        <f t="shared" si="31"/>
        <v>2.2965301515051899</v>
      </c>
      <c r="BO22" s="554">
        <f t="shared" si="25"/>
        <v>0</v>
      </c>
      <c r="BP22" s="562">
        <f t="shared" si="32"/>
        <v>2.1976463758928118</v>
      </c>
      <c r="BQ22" s="552">
        <f t="shared" si="33"/>
        <v>4.9428786245985117E-2</v>
      </c>
      <c r="BR22" s="402">
        <f t="shared" si="34"/>
        <v>0</v>
      </c>
      <c r="BS22" s="553">
        <f t="shared" si="35"/>
        <v>0</v>
      </c>
      <c r="BT22" s="556">
        <f t="shared" si="36"/>
        <v>2373202.1999999997</v>
      </c>
      <c r="BU22" s="540">
        <f t="shared" si="37"/>
        <v>2373202.1999999997</v>
      </c>
      <c r="BV22" s="540">
        <f t="shared" si="38"/>
        <v>2373202.1999999997</v>
      </c>
      <c r="BW22" s="540">
        <f t="shared" si="39"/>
        <v>0</v>
      </c>
      <c r="BX22" s="541">
        <f t="shared" si="40"/>
        <v>0</v>
      </c>
      <c r="BY22" s="542">
        <f t="shared" si="41"/>
        <v>0</v>
      </c>
      <c r="BZ22" s="563">
        <f t="shared" si="42"/>
        <v>2373202.1999999997</v>
      </c>
      <c r="CA22" s="114"/>
    </row>
    <row r="23" spans="1:79">
      <c r="A23" s="403" t="s">
        <v>53</v>
      </c>
      <c r="B23" s="382" t="s">
        <v>73</v>
      </c>
      <c r="C23" s="179">
        <f>'Sizing - Reim Expen_FY2025'!B17</f>
        <v>3419477</v>
      </c>
      <c r="D23" s="178">
        <f>Ridership_FY2025!$E17</f>
        <v>235586</v>
      </c>
      <c r="E23" s="178">
        <f>'Revenue Hours_FY2025'!$E17</f>
        <v>29937</v>
      </c>
      <c r="F23" s="178">
        <f>'Revenue Miles_FY2025'!$E17</f>
        <v>470807</v>
      </c>
      <c r="G23" s="383">
        <f t="shared" si="0"/>
        <v>6.1354436726635013E-3</v>
      </c>
      <c r="H23" s="384">
        <f t="shared" si="1"/>
        <v>6.1354436726635021E-3</v>
      </c>
      <c r="J23" s="385">
        <f>Ridership_FY2025!B17/'Revenue Hours_FY2025'!B17</f>
        <v>8.8925454444382677</v>
      </c>
      <c r="K23" s="386">
        <f>Ridership_FY2025!C17/'Revenue Hours_FY2025'!C17</f>
        <v>5.7639186016175321</v>
      </c>
      <c r="L23" s="386">
        <f>Ridership_FY2025!D17/'Revenue Hours_FY2025'!D17</f>
        <v>6.4797153630255435</v>
      </c>
      <c r="M23" s="386">
        <f>Ridership_FY2025!E17/'Revenue Hours_FY2025'!E17</f>
        <v>7.8693923906871097</v>
      </c>
      <c r="N23" s="387">
        <f t="shared" si="2"/>
        <v>1.0499909933163976</v>
      </c>
      <c r="O23" s="388">
        <f t="shared" si="3"/>
        <v>6.4421605962967574E-3</v>
      </c>
      <c r="P23" s="389">
        <f t="shared" si="4"/>
        <v>6.0855985925736987E-3</v>
      </c>
      <c r="Q23" s="385">
        <f>Ridership_FY2025!B17/'Revenue Miles_FY2025'!B17</f>
        <v>0.59288580032429927</v>
      </c>
      <c r="R23" s="386">
        <f>Ridership_FY2025!C17/'Revenue Miles_FY2025'!C17</f>
        <v>0.39323250859241093</v>
      </c>
      <c r="S23" s="386">
        <f>Ridership_FY2025!D17/'Revenue Miles_FY2025'!D17</f>
        <v>0.42963025620782347</v>
      </c>
      <c r="T23" s="386">
        <f>Ridership_FY2025!E17/'Revenue Miles_FY2025'!E17</f>
        <v>0.50038763229943484</v>
      </c>
      <c r="U23" s="387">
        <f t="shared" si="5"/>
        <v>1.0379042251721813</v>
      </c>
      <c r="V23" s="388">
        <f t="shared" si="6"/>
        <v>6.3680029111633741E-3</v>
      </c>
      <c r="W23" s="389">
        <f t="shared" si="7"/>
        <v>6.0378167237715372E-3</v>
      </c>
      <c r="X23" s="385">
        <f>'Op Cost_FY2025'!B17/'Revenue Hours_FY2025'!B17</f>
        <v>81.611429206737455</v>
      </c>
      <c r="Y23" s="386">
        <f>'Op Cost_FY2025'!C17/'Revenue Hours_FY2025'!C17</f>
        <v>72.997808505087406</v>
      </c>
      <c r="Z23" s="386">
        <f>'Op Cost_FY2025'!D17/'Revenue Hours_FY2025'!D17</f>
        <v>89.842457403679873</v>
      </c>
      <c r="AA23" s="386">
        <f>'Op Cost_FY2025'!E17/'Revenue Hours_FY2025'!E17</f>
        <v>122.89167251227578</v>
      </c>
      <c r="AB23" s="387">
        <f t="shared" si="8"/>
        <v>1.1433754529366269</v>
      </c>
      <c r="AC23" s="388">
        <f t="shared" si="9"/>
        <v>5.3660795820876933E-3</v>
      </c>
      <c r="AD23" s="389">
        <f t="shared" si="10"/>
        <v>5.7243142592946434E-3</v>
      </c>
      <c r="AE23" s="385">
        <f>'Op Cost_FY2025'!B17/'Revenue Miles_FY2025'!B17</f>
        <v>5.4412156590224692</v>
      </c>
      <c r="AF23" s="386">
        <f>'Op Cost_FY2025'!C17/'Revenue Miles_FY2025'!C17</f>
        <v>4.9801382261276927</v>
      </c>
      <c r="AG23" s="386">
        <f>'Op Cost_FY2025'!D17/'Revenue Miles_FY2025'!D17</f>
        <v>5.9569033252504751</v>
      </c>
      <c r="AH23" s="386">
        <f>'Op Cost_FY2025'!E17/'Revenue Miles_FY2025'!E17</f>
        <v>7.8142593461864411</v>
      </c>
      <c r="AI23" s="387">
        <f t="shared" si="11"/>
        <v>1.1229656613500592</v>
      </c>
      <c r="AJ23" s="388">
        <f t="shared" si="12"/>
        <v>5.4636075561627665E-3</v>
      </c>
      <c r="AK23" s="389">
        <f t="shared" si="13"/>
        <v>5.8146502223568163E-3</v>
      </c>
      <c r="AL23" s="385">
        <f>'Op Cost_FY2025'!B17/Ridership_FY2025!B17</f>
        <v>9.1775105021004197</v>
      </c>
      <c r="AM23" s="386">
        <f>'Op Cost_FY2025'!C17/Ridership_FY2025!C17</f>
        <v>12.664614743969837</v>
      </c>
      <c r="AN23" s="386">
        <f>'Op Cost_FY2025'!D17/Ridership_FY2025!D17</f>
        <v>13.865185794477576</v>
      </c>
      <c r="AO23" s="386">
        <f>'Op Cost_FY2025'!E17/Ridership_FY2025!E17</f>
        <v>15.616411841111102</v>
      </c>
      <c r="AP23" s="390">
        <f t="shared" si="14"/>
        <v>1.1449369771833227</v>
      </c>
      <c r="AQ23" s="388">
        <f t="shared" si="15"/>
        <v>5.3587610453087152E-3</v>
      </c>
      <c r="AR23" s="389">
        <f t="shared" si="16"/>
        <v>5.8181633596442088E-3</v>
      </c>
      <c r="AT23" s="391">
        <f t="shared" si="26"/>
        <v>0</v>
      </c>
      <c r="AU23" s="392">
        <f t="shared" si="17"/>
        <v>0</v>
      </c>
      <c r="AV23" s="392">
        <f t="shared" si="18"/>
        <v>0</v>
      </c>
      <c r="AW23" s="392">
        <f t="shared" si="19"/>
        <v>0</v>
      </c>
      <c r="AX23" s="393">
        <f t="shared" si="20"/>
        <v>0</v>
      </c>
      <c r="AY23" s="148">
        <f t="shared" si="27"/>
        <v>-1</v>
      </c>
      <c r="AZ23" s="394">
        <f t="shared" si="21"/>
        <v>0</v>
      </c>
      <c r="BA23" s="395">
        <f t="shared" si="21"/>
        <v>0</v>
      </c>
      <c r="BB23" s="395">
        <f t="shared" si="21"/>
        <v>0</v>
      </c>
      <c r="BC23" s="395">
        <f t="shared" si="21"/>
        <v>0</v>
      </c>
      <c r="BD23" s="395">
        <f t="shared" si="21"/>
        <v>0</v>
      </c>
      <c r="BE23" s="396">
        <f t="shared" si="28"/>
        <v>749999.70502917236</v>
      </c>
      <c r="BG23" s="397">
        <f>'Op Cost_FY2025'!E17</f>
        <v>3679008</v>
      </c>
      <c r="BH23" s="398">
        <f t="shared" si="22"/>
        <v>0.20385922102620391</v>
      </c>
      <c r="BI23" s="399">
        <f t="shared" si="23"/>
        <v>749999.70502917236</v>
      </c>
      <c r="BJ23" s="400">
        <f t="shared" si="24"/>
        <v>0</v>
      </c>
      <c r="BL23" s="548">
        <f t="shared" si="29"/>
        <v>0.73511058930448281</v>
      </c>
      <c r="BM23" s="548">
        <f t="shared" si="30"/>
        <v>0.67443704995618003</v>
      </c>
      <c r="BN23" s="549">
        <f t="shared" si="31"/>
        <v>0.70288596238310597</v>
      </c>
      <c r="BO23" s="554">
        <f t="shared" si="25"/>
        <v>749999.70502917236</v>
      </c>
      <c r="BP23" s="562">
        <f t="shared" si="32"/>
        <v>0.70382989100671867</v>
      </c>
      <c r="BQ23" s="552">
        <f t="shared" si="33"/>
        <v>4.3183086514086144E-3</v>
      </c>
      <c r="BR23" s="402">
        <f t="shared" si="34"/>
        <v>4.3183086514086144E-3</v>
      </c>
      <c r="BS23" s="553">
        <f t="shared" si="35"/>
        <v>4.8733387843692619E-3</v>
      </c>
      <c r="BT23" s="556">
        <f t="shared" si="36"/>
        <v>791884.17323742935</v>
      </c>
      <c r="BU23" s="540">
        <f t="shared" si="37"/>
        <v>1103702.3999999999</v>
      </c>
      <c r="BV23" s="540">
        <f t="shared" si="38"/>
        <v>791884.17323742935</v>
      </c>
      <c r="BW23" s="540">
        <f t="shared" si="39"/>
        <v>0</v>
      </c>
      <c r="BX23" s="541">
        <f t="shared" si="40"/>
        <v>4.3183086514086144E-3</v>
      </c>
      <c r="BY23" s="542">
        <f t="shared" si="41"/>
        <v>8.6928481183225666E-3</v>
      </c>
      <c r="BZ23" s="563">
        <f t="shared" si="42"/>
        <v>799658.30842543277</v>
      </c>
      <c r="CA23" s="114"/>
    </row>
    <row r="24" spans="1:79">
      <c r="A24" s="403" t="s">
        <v>53</v>
      </c>
      <c r="B24" s="382" t="s">
        <v>74</v>
      </c>
      <c r="C24" s="179">
        <f>'Sizing - Reim Expen_FY2025'!B18</f>
        <v>703038</v>
      </c>
      <c r="D24" s="178">
        <f>Ridership_FY2025!$E18</f>
        <v>90145</v>
      </c>
      <c r="E24" s="178">
        <f>'Revenue Hours_FY2025'!$E18</f>
        <v>11560</v>
      </c>
      <c r="F24" s="178">
        <f>'Revenue Miles_FY2025'!$E18</f>
        <v>171222</v>
      </c>
      <c r="G24" s="383">
        <f t="shared" si="0"/>
        <v>1.9267836815085944E-3</v>
      </c>
      <c r="H24" s="384">
        <f t="shared" si="1"/>
        <v>1.9267836815085946E-3</v>
      </c>
      <c r="J24" s="385">
        <f>Ridership_FY2025!B18/'Revenue Hours_FY2025'!B18</f>
        <v>12.121389319430746</v>
      </c>
      <c r="K24" s="386">
        <f>Ridership_FY2025!C18/'Revenue Hours_FY2025'!C18</f>
        <v>6.5520235467255334</v>
      </c>
      <c r="L24" s="386">
        <f>Ridership_FY2025!D18/'Revenue Hours_FY2025'!D18</f>
        <v>6.5625580805947452</v>
      </c>
      <c r="M24" s="386">
        <f>Ridership_FY2025!E18/'Revenue Hours_FY2025'!E18</f>
        <v>7.7980103806228378</v>
      </c>
      <c r="N24" s="387">
        <f t="shared" si="2"/>
        <v>0.9411305771415881</v>
      </c>
      <c r="O24" s="388">
        <f t="shared" si="3"/>
        <v>1.8133550382051775E-3</v>
      </c>
      <c r="P24" s="389">
        <f t="shared" si="4"/>
        <v>1.7129890978938758E-3</v>
      </c>
      <c r="Q24" s="385">
        <f>Ridership_FY2025!B18/'Revenue Miles_FY2025'!B18</f>
        <v>0.79351997048242784</v>
      </c>
      <c r="R24" s="386">
        <f>Ridership_FY2025!C18/'Revenue Miles_FY2025'!C18</f>
        <v>0.47317713453679738</v>
      </c>
      <c r="S24" s="386">
        <f>Ridership_FY2025!D18/'Revenue Miles_FY2025'!D18</f>
        <v>0.44629120011030743</v>
      </c>
      <c r="T24" s="386">
        <f>Ridership_FY2025!E18/'Revenue Miles_FY2025'!E18</f>
        <v>0.52648024202497345</v>
      </c>
      <c r="U24" s="387">
        <f t="shared" si="5"/>
        <v>0.95968549774921197</v>
      </c>
      <c r="V24" s="388">
        <f t="shared" si="6"/>
        <v>1.8491063564436347E-3</v>
      </c>
      <c r="W24" s="389">
        <f t="shared" si="7"/>
        <v>1.7532286713304861E-3</v>
      </c>
      <c r="X24" s="385">
        <f>'Op Cost_FY2025'!B18/'Revenue Hours_FY2025'!B18</f>
        <v>47.958362688459914</v>
      </c>
      <c r="Y24" s="386">
        <f>'Op Cost_FY2025'!C18/'Revenue Hours_FY2025'!C18</f>
        <v>45.519278881530539</v>
      </c>
      <c r="Z24" s="386">
        <f>'Op Cost_FY2025'!D18/'Revenue Hours_FY2025'!D18</f>
        <v>51.194390470558417</v>
      </c>
      <c r="AA24" s="386">
        <f>'Op Cost_FY2025'!E18/'Revenue Hours_FY2025'!E18</f>
        <v>60.816435986159171</v>
      </c>
      <c r="AB24" s="387">
        <f t="shared" si="8"/>
        <v>1.0585987264876684</v>
      </c>
      <c r="AC24" s="388">
        <f t="shared" si="9"/>
        <v>1.8201265817704908E-3</v>
      </c>
      <c r="AD24" s="389">
        <f t="shared" si="10"/>
        <v>1.9416366057128985E-3</v>
      </c>
      <c r="AE24" s="385">
        <f>'Op Cost_FY2025'!B18/'Revenue Miles_FY2025'!B18</f>
        <v>3.1395673830827415</v>
      </c>
      <c r="AF24" s="386">
        <f>'Op Cost_FY2025'!C18/'Revenue Miles_FY2025'!C18</f>
        <v>3.2873328054671349</v>
      </c>
      <c r="AG24" s="386">
        <f>'Op Cost_FY2025'!D18/'Revenue Miles_FY2025'!D18</f>
        <v>3.4815091434513583</v>
      </c>
      <c r="AH24" s="386">
        <f>'Op Cost_FY2025'!E18/'Revenue Miles_FY2025'!E18</f>
        <v>4.1060027332936189</v>
      </c>
      <c r="AI24" s="387">
        <f t="shared" si="11"/>
        <v>1.0643484033760391</v>
      </c>
      <c r="AJ24" s="388">
        <f t="shared" si="12"/>
        <v>1.8102941437192661E-3</v>
      </c>
      <c r="AK24" s="389">
        <f t="shared" si="13"/>
        <v>1.9266074909489504E-3</v>
      </c>
      <c r="AL24" s="385">
        <f>'Op Cost_FY2025'!B18/Ridership_FY2025!B18</f>
        <v>3.95650708220237</v>
      </c>
      <c r="AM24" s="386">
        <f>'Op Cost_FY2025'!C18/Ridership_FY2025!C18</f>
        <v>6.9473619190943596</v>
      </c>
      <c r="AN24" s="386">
        <f>'Op Cost_FY2025'!D18/Ridership_FY2025!D18</f>
        <v>7.8009809348489334</v>
      </c>
      <c r="AO24" s="386">
        <f>'Op Cost_FY2025'!E18/Ridership_FY2025!E18</f>
        <v>7.7989683288035945</v>
      </c>
      <c r="AP24" s="390">
        <f t="shared" si="14"/>
        <v>1.1555135455372394</v>
      </c>
      <c r="AQ24" s="388">
        <f t="shared" si="15"/>
        <v>1.6674695757138566E-3</v>
      </c>
      <c r="AR24" s="389">
        <f t="shared" si="16"/>
        <v>1.8104204137322066E-3</v>
      </c>
      <c r="AT24" s="391">
        <f t="shared" si="26"/>
        <v>0</v>
      </c>
      <c r="AU24" s="392">
        <f t="shared" si="17"/>
        <v>0</v>
      </c>
      <c r="AV24" s="392">
        <f t="shared" si="18"/>
        <v>0</v>
      </c>
      <c r="AW24" s="392">
        <f t="shared" si="19"/>
        <v>0</v>
      </c>
      <c r="AX24" s="393">
        <f t="shared" si="20"/>
        <v>0</v>
      </c>
      <c r="AY24" s="148">
        <f t="shared" si="27"/>
        <v>-1</v>
      </c>
      <c r="AZ24" s="394">
        <f t="shared" si="21"/>
        <v>0</v>
      </c>
      <c r="BA24" s="395">
        <f t="shared" si="21"/>
        <v>0</v>
      </c>
      <c r="BB24" s="395">
        <f t="shared" si="21"/>
        <v>0</v>
      </c>
      <c r="BC24" s="395">
        <f t="shared" si="21"/>
        <v>0</v>
      </c>
      <c r="BD24" s="395">
        <f t="shared" si="21"/>
        <v>0</v>
      </c>
      <c r="BE24" s="396">
        <f t="shared" si="28"/>
        <v>235531.00148650398</v>
      </c>
      <c r="BG24" s="397">
        <f>'Op Cost_FY2025'!E18</f>
        <v>703038</v>
      </c>
      <c r="BH24" s="398">
        <f t="shared" si="22"/>
        <v>0.33501887733878394</v>
      </c>
      <c r="BI24" s="399">
        <f t="shared" si="23"/>
        <v>210911.4</v>
      </c>
      <c r="BJ24" s="400">
        <f t="shared" si="24"/>
        <v>24619.601486503991</v>
      </c>
      <c r="BL24" s="548">
        <f t="shared" si="29"/>
        <v>0.72844251775855451</v>
      </c>
      <c r="BM24" s="548">
        <f t="shared" si="30"/>
        <v>0.70960543061355719</v>
      </c>
      <c r="BN24" s="549">
        <f t="shared" si="31"/>
        <v>1.4074370100172178</v>
      </c>
      <c r="BO24" s="554">
        <f t="shared" si="25"/>
        <v>0</v>
      </c>
      <c r="BP24" s="562">
        <f t="shared" si="32"/>
        <v>1.0632304921016367</v>
      </c>
      <c r="BQ24" s="552">
        <f t="shared" si="33"/>
        <v>2.0486151618637864E-3</v>
      </c>
      <c r="BR24" s="402">
        <f t="shared" si="34"/>
        <v>0</v>
      </c>
      <c r="BS24" s="553">
        <f t="shared" si="35"/>
        <v>0</v>
      </c>
      <c r="BT24" s="556">
        <f t="shared" si="36"/>
        <v>210911.4</v>
      </c>
      <c r="BU24" s="540">
        <f t="shared" si="37"/>
        <v>210911.4</v>
      </c>
      <c r="BV24" s="540">
        <f t="shared" si="38"/>
        <v>210911.4</v>
      </c>
      <c r="BW24" s="540">
        <f t="shared" si="39"/>
        <v>0</v>
      </c>
      <c r="BX24" s="541">
        <f t="shared" si="40"/>
        <v>0</v>
      </c>
      <c r="BY24" s="542">
        <f t="shared" si="41"/>
        <v>0</v>
      </c>
      <c r="BZ24" s="563">
        <f t="shared" si="42"/>
        <v>210911.4</v>
      </c>
      <c r="CA24" s="114"/>
    </row>
    <row r="25" spans="1:79">
      <c r="A25" s="403" t="s">
        <v>53</v>
      </c>
      <c r="B25" s="382" t="s">
        <v>75</v>
      </c>
      <c r="C25" s="179">
        <f>'Sizing - Reim Expen_FY2025'!B19</f>
        <v>8312589</v>
      </c>
      <c r="D25" s="178">
        <f>Ridership_FY2025!$E19</f>
        <v>519342</v>
      </c>
      <c r="E25" s="178">
        <f>'Revenue Hours_FY2025'!$E19</f>
        <v>79599</v>
      </c>
      <c r="F25" s="178">
        <f>'Revenue Miles_FY2025'!$E19</f>
        <v>1150861</v>
      </c>
      <c r="G25" s="383">
        <f t="shared" si="0"/>
        <v>1.4764019756276369E-2</v>
      </c>
      <c r="H25" s="384">
        <f t="shared" si="1"/>
        <v>1.4764019756276371E-2</v>
      </c>
      <c r="J25" s="385">
        <f>Ridership_FY2025!B19/'Revenue Hours_FY2025'!B19</f>
        <v>21.272344057919085</v>
      </c>
      <c r="K25" s="386">
        <f>Ridership_FY2025!C19/'Revenue Hours_FY2025'!C19</f>
        <v>6.2106387495687709</v>
      </c>
      <c r="L25" s="386">
        <f>Ridership_FY2025!D19/'Revenue Hours_FY2025'!D19</f>
        <v>5.9993407953505891</v>
      </c>
      <c r="M25" s="386">
        <f>Ridership_FY2025!E19/'Revenue Hours_FY2025'!E19</f>
        <v>6.5244789507405869</v>
      </c>
      <c r="N25" s="387">
        <f t="shared" si="2"/>
        <v>0.74254458405060142</v>
      </c>
      <c r="O25" s="388">
        <f t="shared" si="3"/>
        <v>1.0962942908839099E-2</v>
      </c>
      <c r="P25" s="389">
        <f t="shared" si="4"/>
        <v>1.0356163734081455E-2</v>
      </c>
      <c r="Q25" s="385">
        <f>Ridership_FY2025!B19/'Revenue Miles_FY2025'!B19</f>
        <v>1.6130997617774709</v>
      </c>
      <c r="R25" s="386">
        <f>Ridership_FY2025!C19/'Revenue Miles_FY2025'!C19</f>
        <v>0.43710720015539234</v>
      </c>
      <c r="S25" s="386">
        <f>Ridership_FY2025!D19/'Revenue Miles_FY2025'!D19</f>
        <v>0.41539215330115964</v>
      </c>
      <c r="T25" s="386">
        <f>Ridership_FY2025!E19/'Revenue Miles_FY2025'!E19</f>
        <v>0.45126387982562621</v>
      </c>
      <c r="U25" s="387">
        <f t="shared" si="5"/>
        <v>0.72761827424943293</v>
      </c>
      <c r="V25" s="388">
        <f t="shared" si="6"/>
        <v>1.0742570576046346E-2</v>
      </c>
      <c r="W25" s="389">
        <f t="shared" si="7"/>
        <v>1.0185559457996391E-2</v>
      </c>
      <c r="X25" s="385">
        <f>'Op Cost_FY2025'!B19/'Revenue Hours_FY2025'!B19</f>
        <v>85.260382965718563</v>
      </c>
      <c r="Y25" s="386">
        <f>'Op Cost_FY2025'!C19/'Revenue Hours_FY2025'!C19</f>
        <v>88.890998593530242</v>
      </c>
      <c r="Z25" s="386">
        <f>'Op Cost_FY2025'!D19/'Revenue Hours_FY2025'!D19</f>
        <v>103.53699617930367</v>
      </c>
      <c r="AA25" s="386">
        <f>'Op Cost_FY2025'!E19/'Revenue Hours_FY2025'!E19</f>
        <v>108.98527619693715</v>
      </c>
      <c r="AB25" s="387">
        <f t="shared" si="8"/>
        <v>1.0489833242149993</v>
      </c>
      <c r="AC25" s="388">
        <f t="shared" si="9"/>
        <v>1.4074599105114414E-2</v>
      </c>
      <c r="AD25" s="389">
        <f t="shared" si="10"/>
        <v>1.5014206762829448E-2</v>
      </c>
      <c r="AE25" s="385">
        <f>'Op Cost_FY2025'!B19/'Revenue Miles_FY2025'!B19</f>
        <v>6.465366631744411</v>
      </c>
      <c r="AF25" s="386">
        <f>'Op Cost_FY2025'!C19/'Revenue Miles_FY2025'!C19</f>
        <v>6.2561834749980854</v>
      </c>
      <c r="AG25" s="386">
        <f>'Op Cost_FY2025'!D19/'Revenue Miles_FY2025'!D19</f>
        <v>7.168863589577354</v>
      </c>
      <c r="AH25" s="386">
        <f>'Op Cost_FY2025'!E19/'Revenue Miles_FY2025'!E19</f>
        <v>7.537938117635405</v>
      </c>
      <c r="AI25" s="387">
        <f t="shared" si="11"/>
        <v>1.026827470444114</v>
      </c>
      <c r="AJ25" s="388">
        <f t="shared" si="12"/>
        <v>1.437828669493111E-2</v>
      </c>
      <c r="AK25" s="389">
        <f t="shared" si="13"/>
        <v>1.5302107091035102E-2</v>
      </c>
      <c r="AL25" s="385">
        <f>'Op Cost_FY2025'!B19/Ridership_FY2025!B19</f>
        <v>4.008038922912144</v>
      </c>
      <c r="AM25" s="386">
        <f>'Op Cost_FY2025'!C19/Ridership_FY2025!C19</f>
        <v>14.312698287225656</v>
      </c>
      <c r="AN25" s="386">
        <f>'Op Cost_FY2025'!D19/Ridership_FY2025!D19</f>
        <v>17.258062129016487</v>
      </c>
      <c r="AO25" s="386">
        <f>'Op Cost_FY2025'!E19/Ridership_FY2025!E19</f>
        <v>16.704058212122263</v>
      </c>
      <c r="AP25" s="387">
        <f t="shared" si="14"/>
        <v>1.4319841470376262</v>
      </c>
      <c r="AQ25" s="388">
        <f t="shared" si="15"/>
        <v>1.031018380113983E-2</v>
      </c>
      <c r="AR25" s="389">
        <f t="shared" si="16"/>
        <v>1.1194067642837625E-2</v>
      </c>
      <c r="AT25" s="391">
        <f t="shared" si="26"/>
        <v>0</v>
      </c>
      <c r="AU25" s="392">
        <f t="shared" si="17"/>
        <v>0</v>
      </c>
      <c r="AV25" s="392">
        <f t="shared" si="18"/>
        <v>0</v>
      </c>
      <c r="AW25" s="392">
        <f t="shared" si="19"/>
        <v>0</v>
      </c>
      <c r="AX25" s="393">
        <f t="shared" si="20"/>
        <v>0</v>
      </c>
      <c r="AY25" s="148">
        <f t="shared" si="27"/>
        <v>-1</v>
      </c>
      <c r="AZ25" s="394">
        <f t="shared" si="21"/>
        <v>0</v>
      </c>
      <c r="BA25" s="395">
        <f t="shared" si="21"/>
        <v>0</v>
      </c>
      <c r="BB25" s="395">
        <f t="shared" si="21"/>
        <v>0</v>
      </c>
      <c r="BC25" s="395">
        <f t="shared" si="21"/>
        <v>0</v>
      </c>
      <c r="BD25" s="395">
        <f t="shared" si="21"/>
        <v>0</v>
      </c>
      <c r="BE25" s="396">
        <f t="shared" si="28"/>
        <v>1804761.1636609104</v>
      </c>
      <c r="BG25" s="397">
        <f>'Op Cost_FY2025'!E19</f>
        <v>8675119</v>
      </c>
      <c r="BH25" s="398">
        <f t="shared" si="22"/>
        <v>0.2080387789102271</v>
      </c>
      <c r="BI25" s="399">
        <f t="shared" si="23"/>
        <v>1804761.1636609104</v>
      </c>
      <c r="BJ25" s="400">
        <f t="shared" si="24"/>
        <v>0</v>
      </c>
      <c r="BL25" s="548">
        <f t="shared" si="29"/>
        <v>0.60947698732872935</v>
      </c>
      <c r="BM25" s="548">
        <f t="shared" si="30"/>
        <v>0.60822662315372988</v>
      </c>
      <c r="BN25" s="549">
        <f t="shared" si="31"/>
        <v>0.65711915790287057</v>
      </c>
      <c r="BO25" s="554">
        <f t="shared" si="25"/>
        <v>1804761.1636609104</v>
      </c>
      <c r="BP25" s="562">
        <f t="shared" si="32"/>
        <v>0.63298548157205015</v>
      </c>
      <c r="BQ25" s="552">
        <f t="shared" si="33"/>
        <v>9.345410155365861E-3</v>
      </c>
      <c r="BR25" s="402">
        <f t="shared" si="34"/>
        <v>9.345410155365861E-3</v>
      </c>
      <c r="BS25" s="553">
        <f t="shared" si="35"/>
        <v>1.0546571225548402E-2</v>
      </c>
      <c r="BT25" s="556">
        <f t="shared" si="36"/>
        <v>1895404.877703412</v>
      </c>
      <c r="BU25" s="540">
        <f t="shared" si="37"/>
        <v>2602535.6999999997</v>
      </c>
      <c r="BV25" s="540">
        <f t="shared" si="38"/>
        <v>1895404.877703412</v>
      </c>
      <c r="BW25" s="540">
        <f t="shared" si="39"/>
        <v>0</v>
      </c>
      <c r="BX25" s="541">
        <f t="shared" si="40"/>
        <v>9.345410155365861E-3</v>
      </c>
      <c r="BY25" s="542">
        <f t="shared" si="41"/>
        <v>1.8812511481208077E-2</v>
      </c>
      <c r="BZ25" s="563">
        <f t="shared" si="42"/>
        <v>1912229.168832175</v>
      </c>
      <c r="CA25" s="114"/>
    </row>
    <row r="26" spans="1:79">
      <c r="A26" s="403" t="s">
        <v>53</v>
      </c>
      <c r="B26" s="382" t="s">
        <v>76</v>
      </c>
      <c r="C26" s="179">
        <f>'Sizing - Reim Expen_FY2025'!B20</f>
        <v>177126</v>
      </c>
      <c r="D26" s="178">
        <f>Ridership_FY2025!$E20</f>
        <v>14298</v>
      </c>
      <c r="E26" s="178">
        <f>'Revenue Hours_FY2025'!$E20</f>
        <v>3028</v>
      </c>
      <c r="F26" s="178">
        <f>'Revenue Miles_FY2025'!$E20</f>
        <v>48742</v>
      </c>
      <c r="G26" s="404">
        <f t="shared" si="0"/>
        <v>4.4038078920761829E-4</v>
      </c>
      <c r="H26" s="384">
        <f t="shared" si="1"/>
        <v>4.4038078920761835E-4</v>
      </c>
      <c r="J26" s="385">
        <f>Ridership_FY2025!B20/'Revenue Hours_FY2025'!B20</f>
        <v>5.9558432934926957</v>
      </c>
      <c r="K26" s="386">
        <f>Ridership_FY2025!C20/'Revenue Hours_FY2025'!C20</f>
        <v>4.686815011624045</v>
      </c>
      <c r="L26" s="386">
        <f>Ridership_FY2025!D20/'Revenue Hours_FY2025'!D20</f>
        <v>4.8892540256325994</v>
      </c>
      <c r="M26" s="386">
        <f>Ridership_FY2025!E20/'Revenue Hours_FY2025'!E20</f>
        <v>4.7219286657859971</v>
      </c>
      <c r="N26" s="387">
        <f t="shared" si="2"/>
        <v>1.0497324316835372</v>
      </c>
      <c r="O26" s="388">
        <f t="shared" si="3"/>
        <v>4.6228199672162845E-4</v>
      </c>
      <c r="P26" s="389">
        <f t="shared" si="4"/>
        <v>4.3669551954952674E-4</v>
      </c>
      <c r="Q26" s="385">
        <f>Ridership_FY2025!B20/'Revenue Miles_FY2025'!B20</f>
        <v>0.37067112984544176</v>
      </c>
      <c r="R26" s="386">
        <f>Ridership_FY2025!C20/'Revenue Miles_FY2025'!C20</f>
        <v>0.28707433174661295</v>
      </c>
      <c r="S26" s="386">
        <f>Ridership_FY2025!D20/'Revenue Miles_FY2025'!D20</f>
        <v>0.30552817479875144</v>
      </c>
      <c r="T26" s="386">
        <f>Ridership_FY2025!E20/'Revenue Miles_FY2025'!E20</f>
        <v>0.29334044561158756</v>
      </c>
      <c r="U26" s="387">
        <f t="shared" si="5"/>
        <v>1.0445386621931119</v>
      </c>
      <c r="V26" s="388">
        <f t="shared" si="6"/>
        <v>4.5999476041447247E-4</v>
      </c>
      <c r="W26" s="389">
        <f t="shared" si="7"/>
        <v>4.3614365383045733E-4</v>
      </c>
      <c r="X26" s="385">
        <f>'Op Cost_FY2025'!B20/'Revenue Hours_FY2025'!B20</f>
        <v>35.128818061088978</v>
      </c>
      <c r="Y26" s="386">
        <f>'Op Cost_FY2025'!C20/'Revenue Hours_FY2025'!C20</f>
        <v>38.42344735968117</v>
      </c>
      <c r="Z26" s="386">
        <f>'Op Cost_FY2025'!D20/'Revenue Hours_FY2025'!D20</f>
        <v>35.43739730529083</v>
      </c>
      <c r="AA26" s="386">
        <f>'Op Cost_FY2025'!E20/'Revenue Hours_FY2025'!E20</f>
        <v>58.537318361955087</v>
      </c>
      <c r="AB26" s="387">
        <f t="shared" si="8"/>
        <v>1.1968858090440895</v>
      </c>
      <c r="AC26" s="388">
        <f t="shared" si="9"/>
        <v>3.6793885087444973E-4</v>
      </c>
      <c r="AD26" s="389">
        <f t="shared" si="10"/>
        <v>3.9250211972996377E-4</v>
      </c>
      <c r="AE26" s="385">
        <f>'Op Cost_FY2025'!B20/'Revenue Miles_FY2025'!B20</f>
        <v>2.1862963881312507</v>
      </c>
      <c r="AF26" s="386">
        <f>'Op Cost_FY2025'!C20/'Revenue Miles_FY2025'!C20</f>
        <v>2.3534928190731925</v>
      </c>
      <c r="AG26" s="386">
        <f>'Op Cost_FY2025'!D20/'Revenue Miles_FY2025'!D20</f>
        <v>2.2144734680466569</v>
      </c>
      <c r="AH26" s="386">
        <f>'Op Cost_FY2025'!E20/'Revenue Miles_FY2025'!E20</f>
        <v>3.6365147101062738</v>
      </c>
      <c r="AI26" s="387">
        <f t="shared" si="11"/>
        <v>1.1975235749946818</v>
      </c>
      <c r="AJ26" s="388">
        <f t="shared" si="12"/>
        <v>3.6774289742861564E-4</v>
      </c>
      <c r="AK26" s="389">
        <f t="shared" si="13"/>
        <v>3.9137077440555063E-4</v>
      </c>
      <c r="AL26" s="385">
        <f>'Op Cost_FY2025'!B20/Ridership_FY2025!B20</f>
        <v>5.8982106025976924</v>
      </c>
      <c r="AM26" s="386">
        <f>'Op Cost_FY2025'!C20/Ridership_FY2025!C20</f>
        <v>8.1982001133786842</v>
      </c>
      <c r="AN26" s="386">
        <f>'Op Cost_FY2025'!D20/Ridership_FY2025!D20</f>
        <v>7.2480172066137918</v>
      </c>
      <c r="AO26" s="386">
        <f>'Op Cost_FY2025'!E20/Ridership_FY2025!E20</f>
        <v>12.396908658553643</v>
      </c>
      <c r="AP26" s="390">
        <f t="shared" si="14"/>
        <v>1.3061052839788061</v>
      </c>
      <c r="AQ26" s="388">
        <f t="shared" si="15"/>
        <v>3.3717097282240556E-4</v>
      </c>
      <c r="AR26" s="389">
        <f t="shared" si="16"/>
        <v>3.6607637165092142E-4</v>
      </c>
      <c r="AT26" s="391">
        <f t="shared" si="26"/>
        <v>0</v>
      </c>
      <c r="AU26" s="392">
        <f t="shared" si="17"/>
        <v>0</v>
      </c>
      <c r="AV26" s="392">
        <f t="shared" si="18"/>
        <v>0</v>
      </c>
      <c r="AW26" s="392">
        <f t="shared" si="19"/>
        <v>0</v>
      </c>
      <c r="AX26" s="393">
        <f t="shared" si="20"/>
        <v>0</v>
      </c>
      <c r="AY26" s="148">
        <f t="shared" si="27"/>
        <v>-1</v>
      </c>
      <c r="AZ26" s="394">
        <f t="shared" si="21"/>
        <v>0</v>
      </c>
      <c r="BA26" s="395">
        <f t="shared" si="21"/>
        <v>0</v>
      </c>
      <c r="BB26" s="395">
        <f t="shared" si="21"/>
        <v>0</v>
      </c>
      <c r="BC26" s="395">
        <f t="shared" si="21"/>
        <v>0</v>
      </c>
      <c r="BD26" s="395">
        <f t="shared" si="21"/>
        <v>0</v>
      </c>
      <c r="BE26" s="396">
        <f t="shared" si="28"/>
        <v>53832.36806130522</v>
      </c>
      <c r="BG26" s="397">
        <f>'Op Cost_FY2025'!E20</f>
        <v>177251</v>
      </c>
      <c r="BH26" s="398">
        <f t="shared" si="22"/>
        <v>0.30370699212588487</v>
      </c>
      <c r="BI26" s="399">
        <f t="shared" si="23"/>
        <v>53175.299999999996</v>
      </c>
      <c r="BJ26" s="400">
        <f t="shared" si="24"/>
        <v>657.06806130522455</v>
      </c>
      <c r="BL26" s="548">
        <f t="shared" si="29"/>
        <v>0.44109374546725261</v>
      </c>
      <c r="BM26" s="548">
        <f t="shared" si="30"/>
        <v>0.39537281099849808</v>
      </c>
      <c r="BN26" s="549">
        <f t="shared" si="31"/>
        <v>0.88542692119754252</v>
      </c>
      <c r="BO26" s="554">
        <f t="shared" si="25"/>
        <v>0</v>
      </c>
      <c r="BP26" s="562">
        <f t="shared" si="32"/>
        <v>0.65183009971520889</v>
      </c>
      <c r="BQ26" s="552">
        <f t="shared" si="33"/>
        <v>2.8705345374186424E-4</v>
      </c>
      <c r="BR26" s="402">
        <f t="shared" si="34"/>
        <v>0</v>
      </c>
      <c r="BS26" s="553">
        <f t="shared" si="35"/>
        <v>0</v>
      </c>
      <c r="BT26" s="556">
        <f t="shared" si="36"/>
        <v>53175.299999999996</v>
      </c>
      <c r="BU26" s="540">
        <f t="shared" si="37"/>
        <v>53175.299999999996</v>
      </c>
      <c r="BV26" s="540">
        <f t="shared" si="38"/>
        <v>53175.299999999996</v>
      </c>
      <c r="BW26" s="540">
        <f t="shared" si="39"/>
        <v>0</v>
      </c>
      <c r="BX26" s="541">
        <f t="shared" si="40"/>
        <v>0</v>
      </c>
      <c r="BY26" s="542">
        <f t="shared" si="41"/>
        <v>0</v>
      </c>
      <c r="BZ26" s="563">
        <f t="shared" si="42"/>
        <v>53175.299999999996</v>
      </c>
      <c r="CA26" s="114"/>
    </row>
    <row r="27" spans="1:79">
      <c r="A27" s="403" t="s">
        <v>103</v>
      </c>
      <c r="B27" s="382" t="s">
        <v>77</v>
      </c>
      <c r="C27" s="179">
        <f>'Sizing - Reim Expen_FY2025'!B21</f>
        <v>18874570</v>
      </c>
      <c r="D27" s="178">
        <f>Ridership_FY2025!$E21</f>
        <v>527426</v>
      </c>
      <c r="E27" s="178">
        <f>'Revenue Hours_FY2025'!$E21</f>
        <v>118492</v>
      </c>
      <c r="F27" s="178">
        <f>'Revenue Miles_FY2025'!$E21</f>
        <v>2591443</v>
      </c>
      <c r="G27" s="404">
        <f t="shared" si="0"/>
        <v>2.6570525216407369E-2</v>
      </c>
      <c r="H27" s="384">
        <f t="shared" si="1"/>
        <v>2.6570525216407372E-2</v>
      </c>
      <c r="J27" s="385">
        <f>Ridership_FY2025!B21/'Revenue Hours_FY2025'!B21</f>
        <v>9.5977192221126977</v>
      </c>
      <c r="K27" s="386">
        <f>Ridership_FY2025!C21/'Revenue Hours_FY2025'!C21</f>
        <v>3.470492023892092</v>
      </c>
      <c r="L27" s="386">
        <f>Ridership_FY2025!D21/'Revenue Hours_FY2025'!D21</f>
        <v>4.2679119210326499</v>
      </c>
      <c r="M27" s="386">
        <f>Ridership_FY2025!E21/'Revenue Hours_FY2025'!E21</f>
        <v>4.451152820443574</v>
      </c>
      <c r="N27" s="387">
        <f t="shared" si="2"/>
        <v>0.84354045251780463</v>
      </c>
      <c r="O27" s="388">
        <f t="shared" si="3"/>
        <v>2.2413312864684013E-2</v>
      </c>
      <c r="P27" s="389">
        <f t="shared" si="4"/>
        <v>2.1172776304683082E-2</v>
      </c>
      <c r="Q27" s="385">
        <f>Ridership_FY2025!B21/'Revenue Miles_FY2025'!B21</f>
        <v>0.37124438856652447</v>
      </c>
      <c r="R27" s="386">
        <f>Ridership_FY2025!C21/'Revenue Miles_FY2025'!C21</f>
        <v>0.16305901321605187</v>
      </c>
      <c r="S27" s="386">
        <f>Ridership_FY2025!D21/'Revenue Miles_FY2025'!D21</f>
        <v>0.18749795684455406</v>
      </c>
      <c r="T27" s="386">
        <f>Ridership_FY2025!E21/'Revenue Miles_FY2025'!E21</f>
        <v>0.20352598918826306</v>
      </c>
      <c r="U27" s="387">
        <f t="shared" si="5"/>
        <v>0.88782342910654022</v>
      </c>
      <c r="V27" s="388">
        <f t="shared" si="6"/>
        <v>2.3589934810792589E-2</v>
      </c>
      <c r="W27" s="389">
        <f t="shared" si="7"/>
        <v>2.2366777292704303E-2</v>
      </c>
      <c r="X27" s="385">
        <f>'Op Cost_FY2025'!B21/'Revenue Hours_FY2025'!B21</f>
        <v>112.24563612250527</v>
      </c>
      <c r="Y27" s="386">
        <f>'Op Cost_FY2025'!C21/'Revenue Hours_FY2025'!C21</f>
        <v>179.69728056645377</v>
      </c>
      <c r="Z27" s="386">
        <f>'Op Cost_FY2025'!D21/'Revenue Hours_FY2025'!D21</f>
        <v>158.41301948873704</v>
      </c>
      <c r="AA27" s="386">
        <f>'Op Cost_FY2025'!E21/'Revenue Hours_FY2025'!E21</f>
        <v>159.2898254734497</v>
      </c>
      <c r="AB27" s="387">
        <f t="shared" si="8"/>
        <v>1.0903539930795201</v>
      </c>
      <c r="AC27" s="388">
        <f t="shared" si="9"/>
        <v>2.4368714550550161E-2</v>
      </c>
      <c r="AD27" s="389">
        <f t="shared" si="10"/>
        <v>2.5995548155497986E-2</v>
      </c>
      <c r="AE27" s="385">
        <f>'Op Cost_FY2025'!B21/'Revenue Miles_FY2025'!B21</f>
        <v>4.3417151082679135</v>
      </c>
      <c r="AF27" s="386">
        <f>'Op Cost_FY2025'!C21/'Revenue Miles_FY2025'!C21</f>
        <v>8.4429703468712045</v>
      </c>
      <c r="AG27" s="386">
        <f>'Op Cost_FY2025'!D21/'Revenue Miles_FY2025'!D21</f>
        <v>6.9594026402794391</v>
      </c>
      <c r="AH27" s="386">
        <f>'Op Cost_FY2025'!E21/'Revenue Miles_FY2025'!E21</f>
        <v>7.2834208585718461</v>
      </c>
      <c r="AI27" s="387">
        <f t="shared" si="11"/>
        <v>1.1782619786185278</v>
      </c>
      <c r="AJ27" s="388">
        <f t="shared" si="12"/>
        <v>2.2550609031414568E-2</v>
      </c>
      <c r="AK27" s="389">
        <f t="shared" si="13"/>
        <v>2.3999509933851852E-2</v>
      </c>
      <c r="AL27" s="385">
        <f>'Op Cost_FY2025'!B21/Ridership_FY2025!B21</f>
        <v>11.695032280575219</v>
      </c>
      <c r="AM27" s="386">
        <f>'Op Cost_FY2025'!C21/Ridership_FY2025!C21</f>
        <v>51.778617939287642</v>
      </c>
      <c r="AN27" s="386">
        <f>'Op Cost_FY2025'!D21/Ridership_FY2025!D21</f>
        <v>37.117218541475417</v>
      </c>
      <c r="AO27" s="386">
        <f>'Op Cost_FY2025'!E21/Ridership_FY2025!E21</f>
        <v>35.786195599003463</v>
      </c>
      <c r="AP27" s="387">
        <f t="shared" si="14"/>
        <v>1.3409477845398807</v>
      </c>
      <c r="AQ27" s="388">
        <f t="shared" si="15"/>
        <v>1.9814735161760615E-2</v>
      </c>
      <c r="AR27" s="389">
        <f t="shared" si="16"/>
        <v>2.1513436617991214E-2</v>
      </c>
      <c r="AT27" s="391">
        <f t="shared" si="26"/>
        <v>0</v>
      </c>
      <c r="AU27" s="392">
        <f t="shared" si="17"/>
        <v>0</v>
      </c>
      <c r="AV27" s="392">
        <f t="shared" si="18"/>
        <v>0</v>
      </c>
      <c r="AW27" s="392">
        <f t="shared" si="19"/>
        <v>0</v>
      </c>
      <c r="AX27" s="393">
        <f t="shared" si="20"/>
        <v>0</v>
      </c>
      <c r="AY27" s="148">
        <f t="shared" si="27"/>
        <v>-1</v>
      </c>
      <c r="AZ27" s="394">
        <f t="shared" si="21"/>
        <v>0</v>
      </c>
      <c r="BA27" s="395">
        <f t="shared" si="21"/>
        <v>0</v>
      </c>
      <c r="BB27" s="395">
        <f t="shared" si="21"/>
        <v>0</v>
      </c>
      <c r="BC27" s="395">
        <f t="shared" si="21"/>
        <v>0</v>
      </c>
      <c r="BD27" s="395">
        <f t="shared" si="21"/>
        <v>0</v>
      </c>
      <c r="BE27" s="396">
        <f t="shared" si="28"/>
        <v>3247994.2996729813</v>
      </c>
      <c r="BG27" s="397">
        <f>'Op Cost_FY2025'!E21</f>
        <v>18874570</v>
      </c>
      <c r="BH27" s="398">
        <f t="shared" si="22"/>
        <v>0.17208308849806811</v>
      </c>
      <c r="BI27" s="399">
        <f t="shared" si="23"/>
        <v>3247994.2996729813</v>
      </c>
      <c r="BJ27" s="400">
        <f t="shared" si="24"/>
        <v>0</v>
      </c>
      <c r="BL27" s="548">
        <f t="shared" si="29"/>
        <v>0.41579951926058251</v>
      </c>
      <c r="BM27" s="548">
        <f t="shared" si="30"/>
        <v>0.27431826623445621</v>
      </c>
      <c r="BN27" s="549">
        <f t="shared" si="31"/>
        <v>0.30672600096714314</v>
      </c>
      <c r="BO27" s="554">
        <f t="shared" si="25"/>
        <v>3247994.2996729813</v>
      </c>
      <c r="BP27" s="562">
        <f t="shared" si="32"/>
        <v>0.32589244685733121</v>
      </c>
      <c r="BQ27" s="552">
        <f t="shared" si="33"/>
        <v>8.6591334770594192E-3</v>
      </c>
      <c r="BR27" s="402">
        <f t="shared" si="34"/>
        <v>8.6591334770594192E-3</v>
      </c>
      <c r="BS27" s="553">
        <f t="shared" si="35"/>
        <v>9.7720877360210987E-3</v>
      </c>
      <c r="BT27" s="556">
        <f t="shared" si="36"/>
        <v>3331981.6266818191</v>
      </c>
      <c r="BU27" s="540">
        <f t="shared" si="37"/>
        <v>5662371</v>
      </c>
      <c r="BV27" s="540">
        <f t="shared" si="38"/>
        <v>3331981.6266818191</v>
      </c>
      <c r="BW27" s="540">
        <f t="shared" si="39"/>
        <v>0</v>
      </c>
      <c r="BX27" s="541">
        <f t="shared" si="40"/>
        <v>8.6591334770594192E-3</v>
      </c>
      <c r="BY27" s="542">
        <f t="shared" si="41"/>
        <v>1.7431021779280721E-2</v>
      </c>
      <c r="BZ27" s="563">
        <f t="shared" si="42"/>
        <v>3347570.432322117</v>
      </c>
      <c r="CA27" s="114"/>
    </row>
    <row r="28" spans="1:79">
      <c r="A28" s="403" t="s">
        <v>103</v>
      </c>
      <c r="B28" s="382" t="s">
        <v>78</v>
      </c>
      <c r="C28" s="179">
        <f>'Sizing - Reim Expen_FY2025'!B22</f>
        <v>23750125</v>
      </c>
      <c r="D28" s="178">
        <f>Ridership_FY2025!$E22</f>
        <v>2106063</v>
      </c>
      <c r="E28" s="178">
        <f>'Revenue Hours_FY2025'!$E22</f>
        <v>216250</v>
      </c>
      <c r="F28" s="178">
        <f>'Revenue Miles_FY2025'!$E22</f>
        <v>2205880</v>
      </c>
      <c r="G28" s="404">
        <f t="shared" si="0"/>
        <v>4.384667664976441E-2</v>
      </c>
      <c r="H28" s="384">
        <f t="shared" si="1"/>
        <v>4.3846676649764417E-2</v>
      </c>
      <c r="J28" s="385">
        <f>Ridership_FY2025!B22/'Revenue Hours_FY2025'!B22</f>
        <v>12.903471027599291</v>
      </c>
      <c r="K28" s="386">
        <f>Ridership_FY2025!C22/'Revenue Hours_FY2025'!C22</f>
        <v>7.8216167510040826</v>
      </c>
      <c r="L28" s="386">
        <f>Ridership_FY2025!D22/'Revenue Hours_FY2025'!D22</f>
        <v>8.8817225863249529</v>
      </c>
      <c r="M28" s="386">
        <f>Ridership_FY2025!E22/'Revenue Hours_FY2025'!E22</f>
        <v>9.7390196531791915</v>
      </c>
      <c r="N28" s="387">
        <f t="shared" si="2"/>
        <v>0.99278724982653765</v>
      </c>
      <c r="O28" s="388">
        <f t="shared" si="3"/>
        <v>4.353042152515308E-2</v>
      </c>
      <c r="P28" s="389">
        <f t="shared" si="4"/>
        <v>4.1121090976821165E-2</v>
      </c>
      <c r="Q28" s="385">
        <f>Ridership_FY2025!B22/'Revenue Miles_FY2025'!B22</f>
        <v>1.2587048387152435</v>
      </c>
      <c r="R28" s="386">
        <f>Ridership_FY2025!C22/'Revenue Miles_FY2025'!C22</f>
        <v>0.78433143162528551</v>
      </c>
      <c r="S28" s="386">
        <f>Ridership_FY2025!D22/'Revenue Miles_FY2025'!D22</f>
        <v>0.87157122671755427</v>
      </c>
      <c r="T28" s="386">
        <f>Ridership_FY2025!E22/'Revenue Miles_FY2025'!E22</f>
        <v>0.95474957839955032</v>
      </c>
      <c r="U28" s="387">
        <f t="shared" si="5"/>
        <v>0.99791433128261009</v>
      </c>
      <c r="V28" s="388">
        <f t="shared" si="6"/>
        <v>4.3755227007914496E-2</v>
      </c>
      <c r="W28" s="389">
        <f t="shared" si="7"/>
        <v>4.1486482507361457E-2</v>
      </c>
      <c r="X28" s="385">
        <f>'Op Cost_FY2025'!B22/'Revenue Hours_FY2025'!B22</f>
        <v>70.784446046283321</v>
      </c>
      <c r="Y28" s="386">
        <f>'Op Cost_FY2025'!C22/'Revenue Hours_FY2025'!C22</f>
        <v>115.12446224595757</v>
      </c>
      <c r="Z28" s="386">
        <f>'Op Cost_FY2025'!D22/'Revenue Hours_FY2025'!D22</f>
        <v>128.33355179497212</v>
      </c>
      <c r="AA28" s="386">
        <f>'Op Cost_FY2025'!E22/'Revenue Hours_FY2025'!E22</f>
        <v>109.8271676300578</v>
      </c>
      <c r="AB28" s="387">
        <f t="shared" si="8"/>
        <v>1.1212511733586463</v>
      </c>
      <c r="AC28" s="388">
        <f t="shared" si="9"/>
        <v>3.9105133347084133E-2</v>
      </c>
      <c r="AD28" s="389">
        <f t="shared" si="10"/>
        <v>4.1715757100874461E-2</v>
      </c>
      <c r="AE28" s="385">
        <f>'Op Cost_FY2025'!B22/'Revenue Miles_FY2025'!B22</f>
        <v>6.9048649432129956</v>
      </c>
      <c r="AF28" s="386">
        <f>'Op Cost_FY2025'!C22/'Revenue Miles_FY2025'!C22</f>
        <v>11.544382339734495</v>
      </c>
      <c r="AG28" s="386">
        <f>'Op Cost_FY2025'!D22/'Revenue Miles_FY2025'!D22</f>
        <v>12.593483986899244</v>
      </c>
      <c r="AH28" s="386">
        <f>'Op Cost_FY2025'!E22/'Revenue Miles_FY2025'!E22</f>
        <v>10.766734817850473</v>
      </c>
      <c r="AI28" s="387">
        <f t="shared" si="11"/>
        <v>1.1272229978943926</v>
      </c>
      <c r="AJ28" s="388">
        <f t="shared" si="12"/>
        <v>3.8897961389776692E-2</v>
      </c>
      <c r="AK28" s="389">
        <f t="shared" si="13"/>
        <v>4.1397197276581595E-2</v>
      </c>
      <c r="AL28" s="385">
        <f>'Op Cost_FY2025'!B22/Ridership_FY2025!B22</f>
        <v>5.485690315023156</v>
      </c>
      <c r="AM28" s="386">
        <f>'Op Cost_FY2025'!C22/Ridership_FY2025!C22</f>
        <v>14.718755202519828</v>
      </c>
      <c r="AN28" s="386">
        <f>'Op Cost_FY2025'!D22/Ridership_FY2025!D22</f>
        <v>14.449173631313958</v>
      </c>
      <c r="AO28" s="386">
        <f>'Op Cost_FY2025'!E22/Ridership_FY2025!E22</f>
        <v>11.277024951295379</v>
      </c>
      <c r="AP28" s="387">
        <f t="shared" si="14"/>
        <v>1.1311670338589401</v>
      </c>
      <c r="AQ28" s="388">
        <f t="shared" si="15"/>
        <v>3.8762336009901983E-2</v>
      </c>
      <c r="AR28" s="389">
        <f t="shared" si="16"/>
        <v>4.20854001886245E-2</v>
      </c>
      <c r="AT28" s="391">
        <f t="shared" si="26"/>
        <v>0</v>
      </c>
      <c r="AU28" s="392">
        <f t="shared" si="17"/>
        <v>0</v>
      </c>
      <c r="AV28" s="392">
        <f t="shared" si="18"/>
        <v>0</v>
      </c>
      <c r="AW28" s="392">
        <f t="shared" si="19"/>
        <v>0</v>
      </c>
      <c r="AX28" s="393">
        <f t="shared" si="20"/>
        <v>0</v>
      </c>
      <c r="AY28" s="148">
        <f t="shared" si="27"/>
        <v>-1</v>
      </c>
      <c r="AZ28" s="394">
        <f t="shared" si="21"/>
        <v>0</v>
      </c>
      <c r="BA28" s="395">
        <f t="shared" si="21"/>
        <v>0</v>
      </c>
      <c r="BB28" s="395">
        <f t="shared" si="21"/>
        <v>0</v>
      </c>
      <c r="BC28" s="395">
        <f t="shared" si="21"/>
        <v>0</v>
      </c>
      <c r="BD28" s="395">
        <f t="shared" si="21"/>
        <v>0</v>
      </c>
      <c r="BE28" s="396">
        <f t="shared" si="28"/>
        <v>5359839.6967365313</v>
      </c>
      <c r="BG28" s="397">
        <f>'Op Cost_FY2025'!E22</f>
        <v>23750125</v>
      </c>
      <c r="BH28" s="398">
        <f t="shared" si="22"/>
        <v>0.2256762731453637</v>
      </c>
      <c r="BI28" s="399">
        <f t="shared" si="23"/>
        <v>5359839.6967365313</v>
      </c>
      <c r="BJ28" s="400">
        <f t="shared" si="24"/>
        <v>0</v>
      </c>
      <c r="BL28" s="548">
        <f t="shared" si="29"/>
        <v>0.90975975285830046</v>
      </c>
      <c r="BM28" s="548">
        <f t="shared" si="30"/>
        <v>1.2868393372228168</v>
      </c>
      <c r="BN28" s="549">
        <f t="shared" si="31"/>
        <v>0.97335571334791149</v>
      </c>
      <c r="BO28" s="554">
        <f t="shared" si="25"/>
        <v>5359839.6967365313</v>
      </c>
      <c r="BP28" s="562">
        <f t="shared" si="32"/>
        <v>1.035827629194235</v>
      </c>
      <c r="BQ28" s="552">
        <f t="shared" si="33"/>
        <v>4.5417599122171699E-2</v>
      </c>
      <c r="BR28" s="402">
        <f t="shared" si="34"/>
        <v>4.5417599122171699E-2</v>
      </c>
      <c r="BS28" s="553">
        <f t="shared" si="35"/>
        <v>5.1255101282029945E-2</v>
      </c>
      <c r="BT28" s="556">
        <f t="shared" si="36"/>
        <v>5800357.5337159336</v>
      </c>
      <c r="BU28" s="540">
        <f t="shared" si="37"/>
        <v>7125037.5</v>
      </c>
      <c r="BV28" s="540">
        <f t="shared" si="38"/>
        <v>5800357.5337159336</v>
      </c>
      <c r="BW28" s="540">
        <f t="shared" si="39"/>
        <v>0</v>
      </c>
      <c r="BX28" s="541">
        <f t="shared" si="40"/>
        <v>4.5417599122171699E-2</v>
      </c>
      <c r="BY28" s="542">
        <f t="shared" si="41"/>
        <v>9.1426603084314995E-2</v>
      </c>
      <c r="BZ28" s="563">
        <f t="shared" si="42"/>
        <v>5882121.6186835831</v>
      </c>
      <c r="CA28" s="114"/>
    </row>
    <row r="29" spans="1:79">
      <c r="A29" s="403" t="s">
        <v>103</v>
      </c>
      <c r="B29" s="382" t="s">
        <v>79</v>
      </c>
      <c r="C29" s="179">
        <f>'Sizing - Reim Expen_FY2025'!B23</f>
        <v>31898625</v>
      </c>
      <c r="D29" s="178">
        <f>Ridership_FY2025!$E23</f>
        <v>4580046</v>
      </c>
      <c r="E29" s="178">
        <f>'Revenue Hours_FY2025'!$E23</f>
        <v>310607</v>
      </c>
      <c r="F29" s="178">
        <f>'Revenue Miles_FY2025'!$E23</f>
        <v>3036654</v>
      </c>
      <c r="G29" s="404">
        <f t="shared" si="0"/>
        <v>7.2685784455415361E-2</v>
      </c>
      <c r="H29" s="384">
        <f t="shared" si="1"/>
        <v>7.2685784455415375E-2</v>
      </c>
      <c r="J29" s="385">
        <f>Ridership_FY2025!B23/'Revenue Hours_FY2025'!B23</f>
        <v>15.892603773584906</v>
      </c>
      <c r="K29" s="386">
        <f>Ridership_FY2025!C23/'Revenue Hours_FY2025'!C23</f>
        <v>7.2218469159098948</v>
      </c>
      <c r="L29" s="386">
        <f>Ridership_FY2025!D23/'Revenue Hours_FY2025'!D23</f>
        <v>11.021126607734487</v>
      </c>
      <c r="M29" s="386">
        <f>Ridership_FY2025!E23/'Revenue Hours_FY2025'!E23</f>
        <v>14.745469355165852</v>
      </c>
      <c r="N29" s="387">
        <f t="shared" si="2"/>
        <v>1.0626677883283782</v>
      </c>
      <c r="O29" s="388">
        <f t="shared" si="3"/>
        <v>7.7240841810149466E-2</v>
      </c>
      <c r="P29" s="389">
        <f t="shared" si="4"/>
        <v>7.2965700122294835E-2</v>
      </c>
      <c r="Q29" s="385">
        <f>Ridership_FY2025!B23/'Revenue Miles_FY2025'!B23</f>
        <v>1.6926824335930128</v>
      </c>
      <c r="R29" s="386">
        <f>Ridership_FY2025!C23/'Revenue Miles_FY2025'!C23</f>
        <v>0.80452628182287345</v>
      </c>
      <c r="S29" s="386">
        <f>Ridership_FY2025!D23/'Revenue Miles_FY2025'!D23</f>
        <v>1.2173072182855937</v>
      </c>
      <c r="T29" s="386">
        <f>Ridership_FY2025!E23/'Revenue Miles_FY2025'!E23</f>
        <v>1.5082541507857004</v>
      </c>
      <c r="U29" s="387">
        <f t="shared" si="5"/>
        <v>1.0498988916910428</v>
      </c>
      <c r="V29" s="388">
        <f t="shared" si="6"/>
        <v>7.6312724541434632E-2</v>
      </c>
      <c r="W29" s="389">
        <f t="shared" si="7"/>
        <v>7.2355847021537828E-2</v>
      </c>
      <c r="X29" s="385">
        <f>'Op Cost_FY2025'!B23/'Revenue Hours_FY2025'!B23</f>
        <v>83.128810327706063</v>
      </c>
      <c r="Y29" s="386">
        <f>'Op Cost_FY2025'!C23/'Revenue Hours_FY2025'!C23</f>
        <v>113.69054841372804</v>
      </c>
      <c r="Z29" s="386">
        <f>'Op Cost_FY2025'!D23/'Revenue Hours_FY2025'!D23</f>
        <v>98.632543150219192</v>
      </c>
      <c r="AA29" s="386">
        <f>'Op Cost_FY2025'!E23/'Revenue Hours_FY2025'!E23</f>
        <v>103.11566062580688</v>
      </c>
      <c r="AB29" s="387">
        <f t="shared" si="8"/>
        <v>1.0363020583866838</v>
      </c>
      <c r="AC29" s="388">
        <f t="shared" si="9"/>
        <v>7.0139573560794324E-2</v>
      </c>
      <c r="AD29" s="389">
        <f t="shared" si="10"/>
        <v>7.4822028807611352E-2</v>
      </c>
      <c r="AE29" s="385">
        <f>'Op Cost_FY2025'!B23/'Revenue Miles_FY2025'!B23</f>
        <v>8.8538466680374093</v>
      </c>
      <c r="AF29" s="386">
        <f>'Op Cost_FY2025'!C23/'Revenue Miles_FY2025'!C23</f>
        <v>12.665324432756394</v>
      </c>
      <c r="AG29" s="386">
        <f>'Op Cost_FY2025'!D23/'Revenue Miles_FY2025'!D23</f>
        <v>10.894177247756708</v>
      </c>
      <c r="AH29" s="386">
        <f>'Op Cost_FY2025'!E23/'Revenue Miles_FY2025'!E23</f>
        <v>10.547281975490128</v>
      </c>
      <c r="AI29" s="387">
        <f t="shared" si="11"/>
        <v>1.0241555778199913</v>
      </c>
      <c r="AJ29" s="388">
        <f t="shared" si="12"/>
        <v>7.0971428589134578E-2</v>
      </c>
      <c r="AK29" s="389">
        <f t="shared" si="13"/>
        <v>7.5531419265519872E-2</v>
      </c>
      <c r="AL29" s="385">
        <f>'Op Cost_FY2025'!B23/Ridership_FY2025!B23</f>
        <v>5.2306602185523836</v>
      </c>
      <c r="AM29" s="386">
        <f>'Op Cost_FY2025'!C23/Ridership_FY2025!C23</f>
        <v>15.742586313102974</v>
      </c>
      <c r="AN29" s="386">
        <f>'Op Cost_FY2025'!D23/Ridership_FY2025!D23</f>
        <v>8.9494065952386492</v>
      </c>
      <c r="AO29" s="386">
        <f>'Op Cost_FY2025'!E23/Ridership_FY2025!E23</f>
        <v>6.9930402445739626</v>
      </c>
      <c r="AP29" s="387">
        <f t="shared" si="14"/>
        <v>1.0002872892817887</v>
      </c>
      <c r="AQ29" s="388">
        <f t="shared" si="15"/>
        <v>7.2664908606010714E-2</v>
      </c>
      <c r="AR29" s="389">
        <f t="shared" si="16"/>
        <v>7.8894413318448459E-2</v>
      </c>
      <c r="AT29" s="391">
        <f t="shared" si="26"/>
        <v>0</v>
      </c>
      <c r="AU29" s="392">
        <f t="shared" si="17"/>
        <v>0</v>
      </c>
      <c r="AV29" s="392">
        <f t="shared" si="18"/>
        <v>0</v>
      </c>
      <c r="AW29" s="392">
        <f t="shared" si="19"/>
        <v>0</v>
      </c>
      <c r="AX29" s="393">
        <f t="shared" si="20"/>
        <v>0</v>
      </c>
      <c r="AY29" s="148">
        <f t="shared" si="27"/>
        <v>-1</v>
      </c>
      <c r="AZ29" s="394">
        <f t="shared" si="21"/>
        <v>0</v>
      </c>
      <c r="BA29" s="395">
        <f t="shared" si="21"/>
        <v>0</v>
      </c>
      <c r="BB29" s="395">
        <f t="shared" si="21"/>
        <v>0</v>
      </c>
      <c r="BC29" s="395">
        <f t="shared" si="21"/>
        <v>0</v>
      </c>
      <c r="BD29" s="395">
        <f t="shared" si="21"/>
        <v>0</v>
      </c>
      <c r="BE29" s="396">
        <f t="shared" si="28"/>
        <v>8885146.667430805</v>
      </c>
      <c r="BG29" s="397">
        <f>'Op Cost_FY2025'!E23</f>
        <v>32028446</v>
      </c>
      <c r="BH29" s="398">
        <f t="shared" si="22"/>
        <v>0.27741422944562483</v>
      </c>
      <c r="BI29" s="399">
        <f t="shared" si="23"/>
        <v>8885146.667430805</v>
      </c>
      <c r="BJ29" s="400">
        <f t="shared" si="24"/>
        <v>0</v>
      </c>
      <c r="BL29" s="548">
        <f t="shared" si="29"/>
        <v>1.3774317163387395</v>
      </c>
      <c r="BM29" s="548">
        <f t="shared" si="30"/>
        <v>2.0328689487500351</v>
      </c>
      <c r="BN29" s="549">
        <f t="shared" si="31"/>
        <v>1.5696401396270006</v>
      </c>
      <c r="BO29" s="554">
        <f t="shared" si="25"/>
        <v>8885146.667430805</v>
      </c>
      <c r="BP29" s="562">
        <f t="shared" si="32"/>
        <v>1.6373952360856938</v>
      </c>
      <c r="BQ29" s="552">
        <f t="shared" si="33"/>
        <v>0.11901535719844872</v>
      </c>
      <c r="BR29" s="402">
        <f t="shared" si="34"/>
        <v>0.11901535719844872</v>
      </c>
      <c r="BS29" s="553">
        <f t="shared" si="35"/>
        <v>0.13431234378801693</v>
      </c>
      <c r="BT29" s="556">
        <f t="shared" si="36"/>
        <v>10039509.485671395</v>
      </c>
      <c r="BU29" s="540">
        <f t="shared" si="37"/>
        <v>9608533.7999999989</v>
      </c>
      <c r="BV29" s="540">
        <f t="shared" si="38"/>
        <v>9608533.7999999989</v>
      </c>
      <c r="BW29" s="540">
        <f t="shared" si="39"/>
        <v>430975.68567139655</v>
      </c>
      <c r="BX29" s="541">
        <f t="shared" si="40"/>
        <v>0</v>
      </c>
      <c r="BY29" s="542">
        <f t="shared" si="41"/>
        <v>0</v>
      </c>
      <c r="BZ29" s="563">
        <f t="shared" si="42"/>
        <v>9608533.7999999989</v>
      </c>
      <c r="CA29" s="114"/>
    </row>
    <row r="30" spans="1:79">
      <c r="A30" s="403" t="s">
        <v>103</v>
      </c>
      <c r="B30" s="382" t="s">
        <v>80</v>
      </c>
      <c r="C30" s="179">
        <f>'Sizing - Reim Expen_FY2025'!B24</f>
        <v>5328325</v>
      </c>
      <c r="D30" s="178">
        <f>Ridership_FY2025!$E24</f>
        <v>847511</v>
      </c>
      <c r="E30" s="178">
        <f>'Revenue Hours_FY2025'!$E24</f>
        <v>34638</v>
      </c>
      <c r="F30" s="178">
        <f>'Revenue Miles_FY2025'!$E24</f>
        <v>439291</v>
      </c>
      <c r="G30" s="404">
        <f t="shared" si="0"/>
        <v>1.2012856017456658E-2</v>
      </c>
      <c r="H30" s="384">
        <f t="shared" si="1"/>
        <v>1.201285601745666E-2</v>
      </c>
      <c r="J30" s="385">
        <f>Ridership_FY2025!B24/'Revenue Hours_FY2025'!B24</f>
        <v>17.559390774078722</v>
      </c>
      <c r="K30" s="386">
        <f>Ridership_FY2025!C24/'Revenue Hours_FY2025'!C24</f>
        <v>9.5356184364060681</v>
      </c>
      <c r="L30" s="386">
        <f>Ridership_FY2025!D24/'Revenue Hours_FY2025'!D24</f>
        <v>13.465131541402728</v>
      </c>
      <c r="M30" s="386">
        <f>Ridership_FY2025!E24/'Revenue Hours_FY2025'!E24</f>
        <v>24.467665569605636</v>
      </c>
      <c r="N30" s="387">
        <f t="shared" si="2"/>
        <v>1.2242812771624043</v>
      </c>
      <c r="O30" s="388">
        <f t="shared" si="3"/>
        <v>1.4707114707419913E-2</v>
      </c>
      <c r="P30" s="389">
        <f t="shared" si="4"/>
        <v>1.3893102356955227E-2</v>
      </c>
      <c r="Q30" s="385">
        <f>Ridership_FY2025!B24/'Revenue Miles_FY2025'!B24</f>
        <v>1.3807895890071515</v>
      </c>
      <c r="R30" s="386">
        <f>Ridership_FY2025!C24/'Revenue Miles_FY2025'!C24</f>
        <v>0.74451206457520036</v>
      </c>
      <c r="S30" s="386">
        <f>Ridership_FY2025!D24/'Revenue Miles_FY2025'!D24</f>
        <v>1.0865963144527517</v>
      </c>
      <c r="T30" s="386">
        <f>Ridership_FY2025!E24/'Revenue Miles_FY2025'!E24</f>
        <v>1.9292701193514095</v>
      </c>
      <c r="U30" s="387">
        <f t="shared" si="5"/>
        <v>1.2259407232504442</v>
      </c>
      <c r="V30" s="388">
        <f t="shared" si="6"/>
        <v>1.4727049394344268E-2</v>
      </c>
      <c r="W30" s="389">
        <f t="shared" si="7"/>
        <v>1.3963439773104092E-2</v>
      </c>
      <c r="X30" s="385">
        <f>'Op Cost_FY2025'!B24/'Revenue Hours_FY2025'!B24</f>
        <v>115.9866367111137</v>
      </c>
      <c r="Y30" s="386">
        <f>'Op Cost_FY2025'!C24/'Revenue Hours_FY2025'!C24</f>
        <v>133.20037922987166</v>
      </c>
      <c r="Z30" s="386">
        <f>'Op Cost_FY2025'!D24/'Revenue Hours_FY2025'!D24</f>
        <v>152.54685270786965</v>
      </c>
      <c r="AA30" s="386">
        <f>'Op Cost_FY2025'!E24/'Revenue Hours_FY2025'!E24</f>
        <v>153.82888734915412</v>
      </c>
      <c r="AB30" s="387">
        <f t="shared" si="8"/>
        <v>1.0555488667259996</v>
      </c>
      <c r="AC30" s="388">
        <f t="shared" si="9"/>
        <v>1.138067255447584E-2</v>
      </c>
      <c r="AD30" s="389">
        <f t="shared" si="10"/>
        <v>1.2140436083246409E-2</v>
      </c>
      <c r="AE30" s="385">
        <f>'Op Cost_FY2025'!B24/'Revenue Miles_FY2025'!B24</f>
        <v>9.1206547251673182</v>
      </c>
      <c r="AF30" s="386">
        <f>'Op Cost_FY2025'!C24/'Revenue Miles_FY2025'!C24</f>
        <v>10.399880196968939</v>
      </c>
      <c r="AG30" s="386">
        <f>'Op Cost_FY2025'!D24/'Revenue Miles_FY2025'!D24</f>
        <v>12.310080107577638</v>
      </c>
      <c r="AH30" s="386">
        <f>'Op Cost_FY2025'!E24/'Revenue Miles_FY2025'!E24</f>
        <v>12.129374378259513</v>
      </c>
      <c r="AI30" s="387">
        <f t="shared" si="11"/>
        <v>1.0624696456281881</v>
      </c>
      <c r="AJ30" s="388">
        <f t="shared" si="12"/>
        <v>1.1306540442719214E-2</v>
      </c>
      <c r="AK30" s="389">
        <f t="shared" si="13"/>
        <v>1.2032997835868914E-2</v>
      </c>
      <c r="AL30" s="385">
        <f>'Op Cost_FY2025'!B24/Ridership_FY2025!B24</f>
        <v>6.6053907110680559</v>
      </c>
      <c r="AM30" s="386">
        <f>'Op Cost_FY2025'!C24/Ridership_FY2025!C24</f>
        <v>13.968719503427852</v>
      </c>
      <c r="AN30" s="386">
        <f>'Op Cost_FY2025'!D24/Ridership_FY2025!D24</f>
        <v>11.329028033541075</v>
      </c>
      <c r="AO30" s="386">
        <f>'Op Cost_FY2025'!E24/Ridership_FY2025!E24</f>
        <v>6.2870275430053413</v>
      </c>
      <c r="AP30" s="390">
        <f t="shared" si="14"/>
        <v>0.88176517012639621</v>
      </c>
      <c r="AQ30" s="388">
        <f t="shared" si="15"/>
        <v>1.362364541540542E-2</v>
      </c>
      <c r="AR30" s="389">
        <f t="shared" si="16"/>
        <v>1.4791589680993183E-2</v>
      </c>
      <c r="AT30" s="391">
        <f t="shared" si="26"/>
        <v>0</v>
      </c>
      <c r="AU30" s="392">
        <f t="shared" si="17"/>
        <v>0</v>
      </c>
      <c r="AV30" s="392">
        <f t="shared" si="18"/>
        <v>0</v>
      </c>
      <c r="AW30" s="392">
        <f t="shared" si="19"/>
        <v>0</v>
      </c>
      <c r="AX30" s="393">
        <f t="shared" si="20"/>
        <v>0</v>
      </c>
      <c r="AY30" s="148">
        <f t="shared" si="27"/>
        <v>-1</v>
      </c>
      <c r="AZ30" s="394">
        <f t="shared" si="21"/>
        <v>0</v>
      </c>
      <c r="BA30" s="395">
        <f t="shared" si="21"/>
        <v>0</v>
      </c>
      <c r="BB30" s="395">
        <f t="shared" si="21"/>
        <v>0</v>
      </c>
      <c r="BC30" s="395">
        <f t="shared" si="21"/>
        <v>0</v>
      </c>
      <c r="BD30" s="395">
        <f t="shared" si="21"/>
        <v>0</v>
      </c>
      <c r="BE30" s="396">
        <f t="shared" si="28"/>
        <v>1468457.531407696</v>
      </c>
      <c r="BG30" s="397">
        <f>'Op Cost_FY2025'!E24</f>
        <v>5328325</v>
      </c>
      <c r="BH30" s="398">
        <f t="shared" si="22"/>
        <v>0.27559458768143758</v>
      </c>
      <c r="BI30" s="399">
        <f t="shared" si="23"/>
        <v>1468457.531407696</v>
      </c>
      <c r="BJ30" s="400">
        <f t="shared" si="24"/>
        <v>0</v>
      </c>
      <c r="BL30" s="548">
        <f t="shared" si="29"/>
        <v>2.2856199262681995</v>
      </c>
      <c r="BM30" s="548">
        <f t="shared" si="30"/>
        <v>2.6003265546046581</v>
      </c>
      <c r="BN30" s="549">
        <f t="shared" si="31"/>
        <v>1.7459056113285718</v>
      </c>
      <c r="BO30" s="554">
        <f t="shared" si="25"/>
        <v>1468457.531407696</v>
      </c>
      <c r="BP30" s="562">
        <f t="shared" si="32"/>
        <v>2.0944394258825003</v>
      </c>
      <c r="BQ30" s="552">
        <f t="shared" si="33"/>
        <v>2.5160199260411065E-2</v>
      </c>
      <c r="BR30" s="402">
        <f t="shared" si="34"/>
        <v>2.5160199260411065E-2</v>
      </c>
      <c r="BS30" s="553">
        <f t="shared" si="35"/>
        <v>2.8394027564061182E-2</v>
      </c>
      <c r="BT30" s="556">
        <f t="shared" si="36"/>
        <v>1712493.25259042</v>
      </c>
      <c r="BU30" s="540">
        <f t="shared" si="37"/>
        <v>1598497.5</v>
      </c>
      <c r="BV30" s="540">
        <f t="shared" si="38"/>
        <v>1598497.5</v>
      </c>
      <c r="BW30" s="540">
        <f t="shared" si="39"/>
        <v>113995.75259041996</v>
      </c>
      <c r="BX30" s="541">
        <f t="shared" si="40"/>
        <v>0</v>
      </c>
      <c r="BY30" s="542">
        <f t="shared" si="41"/>
        <v>0</v>
      </c>
      <c r="BZ30" s="563">
        <f t="shared" si="42"/>
        <v>1598497.5</v>
      </c>
      <c r="CA30" s="114"/>
    </row>
    <row r="31" spans="1:79">
      <c r="A31" s="403" t="s">
        <v>103</v>
      </c>
      <c r="B31" s="382" t="s">
        <v>81</v>
      </c>
      <c r="C31" s="179">
        <f>'Sizing - Reim Expen_FY2025'!B25</f>
        <v>108069575</v>
      </c>
      <c r="D31" s="178">
        <f>Ridership_FY2025!$E25</f>
        <v>8365287</v>
      </c>
      <c r="E31" s="178">
        <f>'Revenue Hours_FY2025'!$E25</f>
        <v>848788</v>
      </c>
      <c r="F31" s="178">
        <f>'Revenue Miles_FY2025'!$E25</f>
        <v>11068404</v>
      </c>
      <c r="G31" s="404">
        <f t="shared" si="0"/>
        <v>0.18842659681657439</v>
      </c>
      <c r="H31" s="384">
        <f t="shared" si="1"/>
        <v>0.18842659681657442</v>
      </c>
      <c r="J31" s="385">
        <f>Ridership_FY2025!B25/'Revenue Hours_FY2025'!B25</f>
        <v>10.935817531005453</v>
      </c>
      <c r="K31" s="386">
        <f>Ridership_FY2025!C25/'Revenue Hours_FY2025'!C25</f>
        <v>5.8735316212753474</v>
      </c>
      <c r="L31" s="386">
        <f>Ridership_FY2025!D25/'Revenue Hours_FY2025'!D25</f>
        <v>6.1587343955565519</v>
      </c>
      <c r="M31" s="386">
        <f>Ridership_FY2025!E25/'Revenue Hours_FY2025'!E25</f>
        <v>9.8555669967058908</v>
      </c>
      <c r="N31" s="387">
        <f t="shared" si="2"/>
        <v>1.0659076257589852</v>
      </c>
      <c r="O31" s="388">
        <f t="shared" si="3"/>
        <v>0.20084534644260041</v>
      </c>
      <c r="P31" s="389">
        <f t="shared" si="4"/>
        <v>0.18972891770793143</v>
      </c>
      <c r="Q31" s="385">
        <f>Ridership_FY2025!B25/'Revenue Miles_FY2025'!B25</f>
        <v>0.82322383518472986</v>
      </c>
      <c r="R31" s="386">
        <f>Ridership_FY2025!C25/'Revenue Miles_FY2025'!C25</f>
        <v>0.454872375587629</v>
      </c>
      <c r="S31" s="386">
        <f>Ridership_FY2025!D25/'Revenue Miles_FY2025'!D25</f>
        <v>0.47446458788106716</v>
      </c>
      <c r="T31" s="386">
        <f>Ridership_FY2025!E25/'Revenue Miles_FY2025'!E25</f>
        <v>0.7557807792342961</v>
      </c>
      <c r="U31" s="387">
        <f t="shared" si="5"/>
        <v>1.0732650953909619</v>
      </c>
      <c r="V31" s="388">
        <f t="shared" si="6"/>
        <v>0.20223168940653508</v>
      </c>
      <c r="W31" s="389">
        <f t="shared" si="7"/>
        <v>0.19174581001444244</v>
      </c>
      <c r="X31" s="385">
        <f>'Op Cost_FY2025'!B25/'Revenue Hours_FY2025'!B25</f>
        <v>111.12397982480542</v>
      </c>
      <c r="Y31" s="386">
        <f>'Op Cost_FY2025'!C25/'Revenue Hours_FY2025'!C25</f>
        <v>123.96447205256577</v>
      </c>
      <c r="Z31" s="386">
        <f>'Op Cost_FY2025'!D25/'Revenue Hours_FY2025'!D25</f>
        <v>123.17011468072208</v>
      </c>
      <c r="AA31" s="386">
        <f>'Op Cost_FY2025'!E25/'Revenue Hours_FY2025'!E25</f>
        <v>127.77476943594867</v>
      </c>
      <c r="AB31" s="387">
        <f t="shared" si="8"/>
        <v>1.0065131598163113</v>
      </c>
      <c r="AC31" s="388">
        <f t="shared" si="9"/>
        <v>0.1872072858450875</v>
      </c>
      <c r="AD31" s="389">
        <f t="shared" si="10"/>
        <v>0.19970507693998077</v>
      </c>
      <c r="AE31" s="385">
        <f>'Op Cost_FY2025'!B25/'Revenue Miles_FY2025'!B25</f>
        <v>8.3651641583266318</v>
      </c>
      <c r="AF31" s="386">
        <f>'Op Cost_FY2025'!C25/'Revenue Miles_FY2025'!C25</f>
        <v>9.6003592943580749</v>
      </c>
      <c r="AG31" s="386">
        <f>'Op Cost_FY2025'!D25/'Revenue Miles_FY2025'!D25</f>
        <v>9.4889394391510358</v>
      </c>
      <c r="AH31" s="386">
        <f>'Op Cost_FY2025'!E25/'Revenue Miles_FY2025'!E25</f>
        <v>9.7984940737616739</v>
      </c>
      <c r="AI31" s="387">
        <f t="shared" si="11"/>
        <v>1.0148352621303056</v>
      </c>
      <c r="AJ31" s="388">
        <f t="shared" si="12"/>
        <v>0.18567210250561858</v>
      </c>
      <c r="AK31" s="389">
        <f t="shared" si="13"/>
        <v>0.19760173493829719</v>
      </c>
      <c r="AL31" s="385">
        <f>'Op Cost_FY2025'!B25/Ridership_FY2025!B25</f>
        <v>10.161469822420175</v>
      </c>
      <c r="AM31" s="386">
        <f>'Op Cost_FY2025'!C25/Ridership_FY2025!C25</f>
        <v>21.10561073742015</v>
      </c>
      <c r="AN31" s="386">
        <f>'Op Cost_FY2025'!D25/Ridership_FY2025!D25</f>
        <v>19.999257439903197</v>
      </c>
      <c r="AO31" s="386">
        <f>'Op Cost_FY2025'!E25/Ridership_FY2025!E25</f>
        <v>12.964730439015423</v>
      </c>
      <c r="AP31" s="387">
        <f t="shared" si="14"/>
        <v>0.97494497637420541</v>
      </c>
      <c r="AQ31" s="388">
        <f t="shared" si="15"/>
        <v>0.19326895505152297</v>
      </c>
      <c r="AR31" s="389">
        <f t="shared" si="16"/>
        <v>0.2098377485635235</v>
      </c>
      <c r="AT31" s="391">
        <f t="shared" si="26"/>
        <v>0</v>
      </c>
      <c r="AU31" s="392">
        <f t="shared" si="17"/>
        <v>0</v>
      </c>
      <c r="AV31" s="392">
        <f t="shared" si="18"/>
        <v>0</v>
      </c>
      <c r="AW31" s="392">
        <f t="shared" si="19"/>
        <v>0</v>
      </c>
      <c r="AX31" s="393">
        <f t="shared" si="20"/>
        <v>0</v>
      </c>
      <c r="AY31" s="148">
        <f t="shared" si="27"/>
        <v>-1</v>
      </c>
      <c r="AZ31" s="394">
        <f t="shared" si="21"/>
        <v>0</v>
      </c>
      <c r="BA31" s="395">
        <f t="shared" si="21"/>
        <v>0</v>
      </c>
      <c r="BB31" s="395">
        <f t="shared" si="21"/>
        <v>0</v>
      </c>
      <c r="BC31" s="395">
        <f t="shared" si="21"/>
        <v>0</v>
      </c>
      <c r="BD31" s="395">
        <f t="shared" si="21"/>
        <v>0</v>
      </c>
      <c r="BE31" s="396">
        <f t="shared" si="28"/>
        <v>23033361.492948432</v>
      </c>
      <c r="BG31" s="397">
        <f>'Op Cost_FY2025'!E25</f>
        <v>108453691</v>
      </c>
      <c r="BH31" s="398">
        <f t="shared" si="22"/>
        <v>0.21237969201941159</v>
      </c>
      <c r="BI31" s="399">
        <f t="shared" si="23"/>
        <v>23033361.492948432</v>
      </c>
      <c r="BJ31" s="400">
        <f t="shared" si="24"/>
        <v>0</v>
      </c>
      <c r="BL31" s="548">
        <f t="shared" si="29"/>
        <v>0.92064689409212364</v>
      </c>
      <c r="BM31" s="548">
        <f t="shared" si="30"/>
        <v>1.0186633846604314</v>
      </c>
      <c r="BN31" s="549">
        <f t="shared" si="31"/>
        <v>0.84664750397570943</v>
      </c>
      <c r="BO31" s="554">
        <f t="shared" si="25"/>
        <v>23033361.492948432</v>
      </c>
      <c r="BP31" s="562">
        <f t="shared" si="32"/>
        <v>0.90815132167599355</v>
      </c>
      <c r="BQ31" s="552">
        <f t="shared" si="33"/>
        <v>0.17111986293788162</v>
      </c>
      <c r="BR31" s="402">
        <f t="shared" si="34"/>
        <v>0.17111986293788162</v>
      </c>
      <c r="BS31" s="553">
        <f t="shared" si="35"/>
        <v>0.19311381657703133</v>
      </c>
      <c r="BT31" s="556">
        <f t="shared" si="36"/>
        <v>24693100.30218919</v>
      </c>
      <c r="BU31" s="540">
        <f t="shared" si="37"/>
        <v>32536107.299999997</v>
      </c>
      <c r="BV31" s="540">
        <f t="shared" si="38"/>
        <v>24693100.30218919</v>
      </c>
      <c r="BW31" s="540">
        <f t="shared" si="39"/>
        <v>0</v>
      </c>
      <c r="BX31" s="541">
        <f t="shared" si="40"/>
        <v>0.17111986293788162</v>
      </c>
      <c r="BY31" s="542">
        <f t="shared" si="41"/>
        <v>0.3444679615622096</v>
      </c>
      <c r="BZ31" s="563">
        <f t="shared" si="42"/>
        <v>25001162.799620394</v>
      </c>
      <c r="CA31" s="114"/>
    </row>
    <row r="32" spans="1:79">
      <c r="A32" s="403" t="s">
        <v>103</v>
      </c>
      <c r="B32" s="382" t="s">
        <v>82</v>
      </c>
      <c r="C32" s="179"/>
      <c r="D32" s="178">
        <v>0</v>
      </c>
      <c r="E32" s="178">
        <v>0</v>
      </c>
      <c r="F32" s="178">
        <v>0</v>
      </c>
      <c r="G32" s="426">
        <f>$C$2</f>
        <v>0</v>
      </c>
      <c r="H32" s="427">
        <f>$C$2</f>
        <v>0</v>
      </c>
      <c r="J32" s="385">
        <v>0</v>
      </c>
      <c r="K32" s="386">
        <v>0</v>
      </c>
      <c r="L32" s="386">
        <v>0</v>
      </c>
      <c r="M32" s="386">
        <v>0</v>
      </c>
      <c r="N32" s="387">
        <f t="shared" si="2"/>
        <v>1</v>
      </c>
      <c r="O32" s="388">
        <f t="shared" si="3"/>
        <v>0</v>
      </c>
      <c r="P32" s="389">
        <f t="shared" si="4"/>
        <v>0</v>
      </c>
      <c r="Q32" s="385">
        <v>0</v>
      </c>
      <c r="R32" s="386">
        <v>0</v>
      </c>
      <c r="S32" s="386">
        <v>0</v>
      </c>
      <c r="T32" s="386">
        <v>0</v>
      </c>
      <c r="U32" s="387">
        <f t="shared" si="5"/>
        <v>1</v>
      </c>
      <c r="V32" s="388">
        <f t="shared" si="6"/>
        <v>0</v>
      </c>
      <c r="W32" s="389">
        <f t="shared" si="7"/>
        <v>0</v>
      </c>
      <c r="X32" s="385">
        <v>0</v>
      </c>
      <c r="Y32" s="386">
        <v>0</v>
      </c>
      <c r="Z32" s="386">
        <v>0</v>
      </c>
      <c r="AA32" s="386">
        <v>0</v>
      </c>
      <c r="AB32" s="387">
        <f t="shared" si="8"/>
        <v>1</v>
      </c>
      <c r="AC32" s="388">
        <f t="shared" si="9"/>
        <v>0</v>
      </c>
      <c r="AD32" s="389">
        <f t="shared" si="10"/>
        <v>0</v>
      </c>
      <c r="AE32" s="385">
        <v>0</v>
      </c>
      <c r="AF32" s="386">
        <v>0</v>
      </c>
      <c r="AG32" s="386">
        <v>0</v>
      </c>
      <c r="AH32" s="386">
        <v>0</v>
      </c>
      <c r="AI32" s="387">
        <f t="shared" si="11"/>
        <v>1</v>
      </c>
      <c r="AJ32" s="388">
        <f t="shared" si="12"/>
        <v>0</v>
      </c>
      <c r="AK32" s="389">
        <f t="shared" si="13"/>
        <v>0</v>
      </c>
      <c r="AL32" s="385">
        <v>0</v>
      </c>
      <c r="AM32" s="386">
        <v>0</v>
      </c>
      <c r="AN32" s="386">
        <v>0</v>
      </c>
      <c r="AO32" s="386">
        <v>0</v>
      </c>
      <c r="AP32" s="387">
        <f t="shared" si="14"/>
        <v>1</v>
      </c>
      <c r="AQ32" s="388">
        <f t="shared" si="15"/>
        <v>0</v>
      </c>
      <c r="AR32" s="389">
        <f t="shared" si="16"/>
        <v>0</v>
      </c>
      <c r="AT32" s="391">
        <f t="shared" si="26"/>
        <v>0</v>
      </c>
      <c r="AU32" s="392">
        <f t="shared" si="17"/>
        <v>0</v>
      </c>
      <c r="AV32" s="392">
        <f t="shared" si="18"/>
        <v>0</v>
      </c>
      <c r="AW32" s="392">
        <f t="shared" si="19"/>
        <v>0</v>
      </c>
      <c r="AX32" s="393">
        <f t="shared" si="20"/>
        <v>0</v>
      </c>
      <c r="AY32" s="148" t="e">
        <f t="shared" si="27"/>
        <v>#DIV/0!</v>
      </c>
      <c r="AZ32" s="394">
        <f t="shared" si="21"/>
        <v>0</v>
      </c>
      <c r="BA32" s="395">
        <f t="shared" si="21"/>
        <v>0</v>
      </c>
      <c r="BB32" s="395">
        <f t="shared" si="21"/>
        <v>0</v>
      </c>
      <c r="BC32" s="395">
        <f t="shared" si="21"/>
        <v>0</v>
      </c>
      <c r="BD32" s="395">
        <f t="shared" si="21"/>
        <v>0</v>
      </c>
      <c r="BE32" s="396">
        <f t="shared" si="28"/>
        <v>0</v>
      </c>
      <c r="BG32" s="397">
        <v>0</v>
      </c>
      <c r="BH32" s="398">
        <v>0</v>
      </c>
      <c r="BI32" s="399">
        <f t="shared" si="23"/>
        <v>0</v>
      </c>
      <c r="BJ32" s="400">
        <f t="shared" si="24"/>
        <v>0</v>
      </c>
      <c r="BL32" s="548">
        <f t="shared" si="29"/>
        <v>0</v>
      </c>
      <c r="BM32" s="548">
        <f t="shared" si="30"/>
        <v>0</v>
      </c>
      <c r="BN32" s="549">
        <v>0</v>
      </c>
      <c r="BO32" s="554">
        <f t="shared" si="25"/>
        <v>0</v>
      </c>
      <c r="BP32" s="562">
        <f t="shared" si="32"/>
        <v>0</v>
      </c>
      <c r="BQ32" s="552">
        <f t="shared" si="33"/>
        <v>0</v>
      </c>
      <c r="BR32" s="402">
        <f t="shared" si="34"/>
        <v>0</v>
      </c>
      <c r="BS32" s="553">
        <f t="shared" si="35"/>
        <v>0</v>
      </c>
      <c r="BT32" s="556">
        <f t="shared" si="36"/>
        <v>0</v>
      </c>
      <c r="BU32" s="540">
        <f t="shared" si="37"/>
        <v>0</v>
      </c>
      <c r="BV32" s="540">
        <f t="shared" si="38"/>
        <v>0</v>
      </c>
      <c r="BW32" s="540">
        <f t="shared" si="39"/>
        <v>0</v>
      </c>
      <c r="BX32" s="541">
        <f t="shared" si="40"/>
        <v>0</v>
      </c>
      <c r="BY32" s="542">
        <f t="shared" si="41"/>
        <v>0</v>
      </c>
      <c r="BZ32" s="563">
        <f t="shared" si="42"/>
        <v>0</v>
      </c>
      <c r="CA32" s="114"/>
    </row>
    <row r="33" spans="1:79">
      <c r="A33" s="403" t="s">
        <v>103</v>
      </c>
      <c r="B33" s="382" t="s">
        <v>83</v>
      </c>
      <c r="C33" s="179">
        <f>'Sizing - Reim Expen_FY2025'!B27</f>
        <v>41578430</v>
      </c>
      <c r="D33" s="178">
        <f>Ridership_FY2025!$E27</f>
        <v>1572283</v>
      </c>
      <c r="E33" s="178">
        <f>'Revenue Hours_FY2025'!$E27</f>
        <v>207877</v>
      </c>
      <c r="F33" s="178">
        <f>'Revenue Miles_FY2025'!$E27</f>
        <v>5086977</v>
      </c>
      <c r="G33" s="404">
        <f t="shared" ref="G33:G48" si="43">IFERROR($C$7*(C33/C$49),0) + IFERROR($D$7*(D33/D$49),0) + IFERROR($E$7*(E33/E$49),0) + IFERROR($F$7*(F33/F$49),0)</f>
        <v>5.831523176862316E-2</v>
      </c>
      <c r="H33" s="384">
        <f t="shared" ref="H33:H48" si="44">G33/(SUM($G$9:$G$48)-$G$32)*(1-$G$32)</f>
        <v>5.8315231768623167E-2</v>
      </c>
      <c r="J33" s="385">
        <f>Ridership_FY2025!B27/'Revenue Hours_FY2025'!B27</f>
        <v>10.619348493496171</v>
      </c>
      <c r="K33" s="386">
        <f>Ridership_FY2025!C27/'Revenue Hours_FY2025'!C27</f>
        <v>3.1822121529637459</v>
      </c>
      <c r="L33" s="386">
        <f>Ridership_FY2025!D27/'Revenue Hours_FY2025'!D27</f>
        <v>5.6143685300207036</v>
      </c>
      <c r="M33" s="386">
        <f>Ridership_FY2025!E27/'Revenue Hours_FY2025'!E27</f>
        <v>7.5635255463567397</v>
      </c>
      <c r="N33" s="387">
        <f t="shared" si="2"/>
        <v>1.0264635833767835</v>
      </c>
      <c r="O33" s="388">
        <f t="shared" si="3"/>
        <v>5.9858461766668578E-2</v>
      </c>
      <c r="P33" s="389">
        <f t="shared" si="4"/>
        <v>5.6545403554556874E-2</v>
      </c>
      <c r="Q33" s="385">
        <f>Ridership_FY2025!B27/'Revenue Miles_FY2025'!B27</f>
        <v>0.5403360203480656</v>
      </c>
      <c r="R33" s="386">
        <f>Ridership_FY2025!C27/'Revenue Miles_FY2025'!C27</f>
        <v>0.14309026388335411</v>
      </c>
      <c r="S33" s="386">
        <f>Ridership_FY2025!D27/'Revenue Miles_FY2025'!D27</f>
        <v>0.23387194455837201</v>
      </c>
      <c r="T33" s="386">
        <f>Ridership_FY2025!E27/'Revenue Miles_FY2025'!E27</f>
        <v>0.3090800292590275</v>
      </c>
      <c r="U33" s="387">
        <f t="shared" si="5"/>
        <v>0.97050521546232849</v>
      </c>
      <c r="V33" s="388">
        <f t="shared" si="6"/>
        <v>5.6595236572343249E-2</v>
      </c>
      <c r="W33" s="389">
        <f t="shared" si="7"/>
        <v>5.3660727017455633E-2</v>
      </c>
      <c r="X33" s="385">
        <f>'Op Cost_FY2025'!B27/'Revenue Hours_FY2025'!B27</f>
        <v>147.42823097382487</v>
      </c>
      <c r="Y33" s="386">
        <f>'Op Cost_FY2025'!C27/'Revenue Hours_FY2025'!C27</f>
        <v>162.67460550900779</v>
      </c>
      <c r="Z33" s="386">
        <f>'Op Cost_FY2025'!D27/'Revenue Hours_FY2025'!D27</f>
        <v>182.82648723257418</v>
      </c>
      <c r="AA33" s="386">
        <f>'Op Cost_FY2025'!E27/'Revenue Hours_FY2025'!E27</f>
        <v>219.6294299032601</v>
      </c>
      <c r="AB33" s="387">
        <f t="shared" si="8"/>
        <v>1.1052316025815632</v>
      </c>
      <c r="AC33" s="388">
        <f t="shared" si="9"/>
        <v>5.2762906554981226E-2</v>
      </c>
      <c r="AD33" s="389">
        <f t="shared" si="10"/>
        <v>5.6285311042107836E-2</v>
      </c>
      <c r="AE33" s="385">
        <f>'Op Cost_FY2025'!B27/'Revenue Miles_FY2025'!B27</f>
        <v>7.5014755999523217</v>
      </c>
      <c r="AF33" s="386">
        <f>'Op Cost_FY2025'!C27/'Revenue Miles_FY2025'!C27</f>
        <v>7.31477070368339</v>
      </c>
      <c r="AG33" s="386">
        <f>'Op Cost_FY2025'!D27/'Revenue Miles_FY2025'!D27</f>
        <v>7.6158139347686928</v>
      </c>
      <c r="AH33" s="386">
        <f>'Op Cost_FY2025'!E27/'Revenue Miles_FY2025'!E27</f>
        <v>8.9750566987033746</v>
      </c>
      <c r="AI33" s="387">
        <f t="shared" si="11"/>
        <v>1.0385690261414711</v>
      </c>
      <c r="AJ33" s="388">
        <f t="shared" si="12"/>
        <v>5.6149596512884668E-2</v>
      </c>
      <c r="AK33" s="389">
        <f t="shared" si="13"/>
        <v>5.9757268525009684E-2</v>
      </c>
      <c r="AL33" s="385">
        <f>'Op Cost_FY2025'!B27/Ridership_FY2025!B27</f>
        <v>13.882982657939651</v>
      </c>
      <c r="AM33" s="386">
        <f>'Op Cost_FY2025'!C27/Ridership_FY2025!C27</f>
        <v>51.119974938660576</v>
      </c>
      <c r="AN33" s="386">
        <f>'Op Cost_FY2025'!D27/Ridership_FY2025!D27</f>
        <v>32.564033916722593</v>
      </c>
      <c r="AO33" s="386">
        <f>'Op Cost_FY2025'!E27/Ridership_FY2025!E27</f>
        <v>29.037970263623023</v>
      </c>
      <c r="AP33" s="387">
        <f t="shared" si="14"/>
        <v>1.17121247832242</v>
      </c>
      <c r="AQ33" s="388">
        <f t="shared" si="15"/>
        <v>4.9790480248426555E-2</v>
      </c>
      <c r="AR33" s="389">
        <f t="shared" si="16"/>
        <v>5.4058978445043773E-2</v>
      </c>
      <c r="AT33" s="391">
        <f t="shared" si="26"/>
        <v>0</v>
      </c>
      <c r="AU33" s="392">
        <f t="shared" si="17"/>
        <v>0</v>
      </c>
      <c r="AV33" s="392">
        <f t="shared" si="18"/>
        <v>0</v>
      </c>
      <c r="AW33" s="392">
        <f t="shared" si="19"/>
        <v>0</v>
      </c>
      <c r="AX33" s="393">
        <f t="shared" si="20"/>
        <v>0</v>
      </c>
      <c r="AY33" s="148">
        <f t="shared" si="27"/>
        <v>-1</v>
      </c>
      <c r="AZ33" s="394">
        <f t="shared" si="21"/>
        <v>0</v>
      </c>
      <c r="BA33" s="395">
        <f t="shared" si="21"/>
        <v>0</v>
      </c>
      <c r="BB33" s="395">
        <f t="shared" si="21"/>
        <v>0</v>
      </c>
      <c r="BC33" s="395">
        <f t="shared" si="21"/>
        <v>0</v>
      </c>
      <c r="BD33" s="395">
        <f t="shared" si="21"/>
        <v>0</v>
      </c>
      <c r="BE33" s="396">
        <f t="shared" si="28"/>
        <v>7128483.1152542336</v>
      </c>
      <c r="BG33" s="397">
        <f>'Op Cost_FY2025'!E27</f>
        <v>45655907</v>
      </c>
      <c r="BH33" s="398">
        <f t="shared" si="22"/>
        <v>0.15613495785450573</v>
      </c>
      <c r="BI33" s="399">
        <f t="shared" si="23"/>
        <v>7128483.1152542336</v>
      </c>
      <c r="BJ33" s="400">
        <f t="shared" si="24"/>
        <v>0</v>
      </c>
      <c r="BL33" s="548">
        <f t="shared" si="29"/>
        <v>0.70653837622606386</v>
      </c>
      <c r="BM33" s="548">
        <f t="shared" si="30"/>
        <v>0.41658708105137104</v>
      </c>
      <c r="BN33" s="549">
        <f t="shared" si="31"/>
        <v>0.37800702205625791</v>
      </c>
      <c r="BO33" s="554">
        <f t="shared" si="25"/>
        <v>7128483.1152542336</v>
      </c>
      <c r="BP33" s="562">
        <f t="shared" si="32"/>
        <v>0.4697848753474877</v>
      </c>
      <c r="BQ33" s="552">
        <f t="shared" si="33"/>
        <v>2.739561388728249E-2</v>
      </c>
      <c r="BR33" s="402">
        <f t="shared" si="34"/>
        <v>2.739561388728249E-2</v>
      </c>
      <c r="BS33" s="553">
        <f t="shared" si="35"/>
        <v>3.0916758957224868E-2</v>
      </c>
      <c r="BT33" s="556">
        <f t="shared" si="36"/>
        <v>7394200.7402631063</v>
      </c>
      <c r="BU33" s="540">
        <f t="shared" si="37"/>
        <v>13696772.1</v>
      </c>
      <c r="BV33" s="540">
        <f t="shared" si="38"/>
        <v>7394200.7402631063</v>
      </c>
      <c r="BW33" s="540">
        <f t="shared" si="39"/>
        <v>0</v>
      </c>
      <c r="BX33" s="541">
        <f t="shared" si="40"/>
        <v>2.739561388728249E-2</v>
      </c>
      <c r="BY33" s="542">
        <f t="shared" si="41"/>
        <v>5.5147959503235824E-2</v>
      </c>
      <c r="BZ33" s="563">
        <f t="shared" si="42"/>
        <v>7443520.328812805</v>
      </c>
      <c r="CA33" s="114"/>
    </row>
    <row r="34" spans="1:79">
      <c r="A34" s="403" t="s">
        <v>55</v>
      </c>
      <c r="B34" s="382" t="s">
        <v>84</v>
      </c>
      <c r="C34" s="179">
        <f>'Sizing - Reim Expen_FY2025'!B28</f>
        <v>4660277</v>
      </c>
      <c r="D34" s="178">
        <f>Ridership_FY2025!$E28</f>
        <v>475942</v>
      </c>
      <c r="E34" s="178">
        <f>'Revenue Hours_FY2025'!$E28</f>
        <v>43849</v>
      </c>
      <c r="F34" s="178">
        <f>'Revenue Miles_FY2025'!$E28</f>
        <v>553318</v>
      </c>
      <c r="G34" s="383">
        <f t="shared" si="43"/>
        <v>9.3995318174305044E-3</v>
      </c>
      <c r="H34" s="384">
        <f t="shared" si="44"/>
        <v>9.3995318174305061E-3</v>
      </c>
      <c r="J34" s="385">
        <f>Ridership_FY2025!B28/'Revenue Hours_FY2025'!B28</f>
        <v>7.2311072676573369</v>
      </c>
      <c r="K34" s="386">
        <f>Ridership_FY2025!C28/'Revenue Hours_FY2025'!C28</f>
        <v>7.0651748073074137</v>
      </c>
      <c r="L34" s="386">
        <f>Ridership_FY2025!D28/'Revenue Hours_FY2025'!D28</f>
        <v>8.5454680032144825</v>
      </c>
      <c r="M34" s="386">
        <f>Ridership_FY2025!E28/'Revenue Hours_FY2025'!E28</f>
        <v>10.854112978631212</v>
      </c>
      <c r="N34" s="387">
        <f t="shared" si="2"/>
        <v>1.3009855746270713</v>
      </c>
      <c r="O34" s="388">
        <f t="shared" si="3"/>
        <v>1.2228655302725266E-2</v>
      </c>
      <c r="P34" s="389">
        <f t="shared" si="4"/>
        <v>1.1551821223164319E-2</v>
      </c>
      <c r="Q34" s="385">
        <f>Ridership_FY2025!B28/'Revenue Miles_FY2025'!B28</f>
        <v>0.68740479018609113</v>
      </c>
      <c r="R34" s="386">
        <f>Ridership_FY2025!C28/'Revenue Miles_FY2025'!C28</f>
        <v>0.60435953803758868</v>
      </c>
      <c r="S34" s="386">
        <f>Ridership_FY2025!D28/'Revenue Miles_FY2025'!D28</f>
        <v>0.7290038463481342</v>
      </c>
      <c r="T34" s="386">
        <f>Ridership_FY2025!E28/'Revenue Miles_FY2025'!E28</f>
        <v>0.86015998033680452</v>
      </c>
      <c r="U34" s="387">
        <f t="shared" si="5"/>
        <v>1.2103155382207087</v>
      </c>
      <c r="V34" s="388">
        <f t="shared" si="6"/>
        <v>1.137639941063608E-2</v>
      </c>
      <c r="W34" s="389">
        <f t="shared" si="7"/>
        <v>1.0786523746311293E-2</v>
      </c>
      <c r="X34" s="385">
        <f>'Op Cost_FY2025'!B28/'Revenue Hours_FY2025'!B28</f>
        <v>63.118368571529423</v>
      </c>
      <c r="Y34" s="386">
        <f>'Op Cost_FY2025'!C28/'Revenue Hours_FY2025'!C28</f>
        <v>99.128071370778855</v>
      </c>
      <c r="Z34" s="386">
        <f>'Op Cost_FY2025'!D28/'Revenue Hours_FY2025'!D28</f>
        <v>86.295224802267057</v>
      </c>
      <c r="AA34" s="386">
        <f>'Op Cost_FY2025'!E28/'Revenue Hours_FY2025'!E28</f>
        <v>108.01972678966453</v>
      </c>
      <c r="AB34" s="387">
        <f t="shared" si="8"/>
        <v>1.1665516654755821</v>
      </c>
      <c r="AC34" s="388">
        <f t="shared" si="9"/>
        <v>8.0575358088391964E-3</v>
      </c>
      <c r="AD34" s="389">
        <f t="shared" si="10"/>
        <v>8.5954496983756522E-3</v>
      </c>
      <c r="AE34" s="385">
        <f>'Op Cost_FY2025'!B28/'Revenue Miles_FY2025'!B28</f>
        <v>6.0001694483031685</v>
      </c>
      <c r="AF34" s="386">
        <f>'Op Cost_FY2025'!C28/'Revenue Miles_FY2025'!C28</f>
        <v>8.4794781522232086</v>
      </c>
      <c r="AG34" s="386">
        <f>'Op Cost_FY2025'!D28/'Revenue Miles_FY2025'!D28</f>
        <v>7.3617443513527165</v>
      </c>
      <c r="AH34" s="386">
        <f>'Op Cost_FY2025'!E28/'Revenue Miles_FY2025'!E28</f>
        <v>8.5602799836621983</v>
      </c>
      <c r="AI34" s="387">
        <f t="shared" si="11"/>
        <v>1.0918608229846662</v>
      </c>
      <c r="AJ34" s="388">
        <f t="shared" si="12"/>
        <v>8.6087270644406213E-3</v>
      </c>
      <c r="AK34" s="389">
        <f t="shared" si="13"/>
        <v>9.1618470442659233E-3</v>
      </c>
      <c r="AL34" s="385">
        <f>'Op Cost_FY2025'!B28/Ridership_FY2025!B28</f>
        <v>8.7287280129060925</v>
      </c>
      <c r="AM34" s="386">
        <f>'Op Cost_FY2025'!C28/Ridership_FY2025!C28</f>
        <v>14.030519282870687</v>
      </c>
      <c r="AN34" s="386">
        <f>'Op Cost_FY2025'!D28/Ridership_FY2025!D28</f>
        <v>10.098361467131589</v>
      </c>
      <c r="AO34" s="386">
        <f>'Op Cost_FY2025'!E28/Ridership_FY2025!E28</f>
        <v>9.9519626341024754</v>
      </c>
      <c r="AP34" s="390">
        <f t="shared" si="14"/>
        <v>0.95582060414578562</v>
      </c>
      <c r="AQ34" s="388">
        <f t="shared" si="15"/>
        <v>9.833991626316577E-3</v>
      </c>
      <c r="AR34" s="389">
        <f t="shared" si="16"/>
        <v>1.0677051892316073E-2</v>
      </c>
      <c r="AT34" s="391">
        <f t="shared" si="26"/>
        <v>0</v>
      </c>
      <c r="AU34" s="392">
        <f t="shared" si="17"/>
        <v>0</v>
      </c>
      <c r="AV34" s="392">
        <f t="shared" si="18"/>
        <v>0</v>
      </c>
      <c r="AW34" s="392">
        <f t="shared" si="19"/>
        <v>0</v>
      </c>
      <c r="AX34" s="393">
        <f t="shared" si="20"/>
        <v>0</v>
      </c>
      <c r="AY34" s="148">
        <f t="shared" si="27"/>
        <v>-1</v>
      </c>
      <c r="AZ34" s="394">
        <f t="shared" si="21"/>
        <v>0</v>
      </c>
      <c r="BA34" s="395">
        <f t="shared" si="21"/>
        <v>0</v>
      </c>
      <c r="BB34" s="395">
        <f t="shared" si="21"/>
        <v>0</v>
      </c>
      <c r="BC34" s="395">
        <f t="shared" si="21"/>
        <v>0</v>
      </c>
      <c r="BD34" s="395">
        <f t="shared" si="21"/>
        <v>0</v>
      </c>
      <c r="BE34" s="396">
        <f t="shared" si="28"/>
        <v>1149003.473358403</v>
      </c>
      <c r="BG34" s="397">
        <f>'Op Cost_FY2025'!E28</f>
        <v>4736557</v>
      </c>
      <c r="BH34" s="398">
        <f t="shared" si="22"/>
        <v>0.24258200067230332</v>
      </c>
      <c r="BI34" s="399">
        <f t="shared" si="23"/>
        <v>1149003.473358403</v>
      </c>
      <c r="BJ34" s="400">
        <f t="shared" si="24"/>
        <v>0</v>
      </c>
      <c r="BL34" s="548">
        <f t="shared" si="29"/>
        <v>1.0139249629414333</v>
      </c>
      <c r="BM34" s="548">
        <f t="shared" si="30"/>
        <v>1.1593487172392201</v>
      </c>
      <c r="BN34" s="549">
        <f t="shared" si="31"/>
        <v>1.1029539669187312</v>
      </c>
      <c r="BO34" s="554">
        <f t="shared" si="25"/>
        <v>1149003.473358403</v>
      </c>
      <c r="BP34" s="562">
        <f t="shared" si="32"/>
        <v>1.0947954035045289</v>
      </c>
      <c r="BQ34" s="552">
        <f t="shared" si="33"/>
        <v>1.0290564228817488E-2</v>
      </c>
      <c r="BR34" s="402">
        <f t="shared" si="34"/>
        <v>1.0290564228817488E-2</v>
      </c>
      <c r="BS34" s="553">
        <f t="shared" si="35"/>
        <v>1.1613205497245016E-2</v>
      </c>
      <c r="BT34" s="556">
        <f t="shared" si="36"/>
        <v>1248814.4977849079</v>
      </c>
      <c r="BU34" s="540">
        <f t="shared" si="37"/>
        <v>1420967.0999999999</v>
      </c>
      <c r="BV34" s="540">
        <f t="shared" si="38"/>
        <v>1248814.4977849079</v>
      </c>
      <c r="BW34" s="540">
        <f t="shared" si="39"/>
        <v>0</v>
      </c>
      <c r="BX34" s="541">
        <f t="shared" si="40"/>
        <v>1.0290564228817488E-2</v>
      </c>
      <c r="BY34" s="542">
        <f t="shared" si="41"/>
        <v>2.071512694299283E-2</v>
      </c>
      <c r="BZ34" s="563">
        <f t="shared" si="42"/>
        <v>1267340.3244299218</v>
      </c>
      <c r="CA34" s="114"/>
    </row>
    <row r="35" spans="1:79">
      <c r="A35" s="403" t="s">
        <v>55</v>
      </c>
      <c r="B35" s="382" t="s">
        <v>85</v>
      </c>
      <c r="C35" s="179">
        <f>'Sizing - Reim Expen_FY2025'!B29</f>
        <v>67417899</v>
      </c>
      <c r="D35" s="178">
        <f>Ridership_FY2025!$E29</f>
        <v>9625071</v>
      </c>
      <c r="E35" s="178">
        <f>'Revenue Hours_FY2025'!$E29</f>
        <v>583725</v>
      </c>
      <c r="F35" s="178">
        <f>'Revenue Miles_FY2025'!$E29</f>
        <v>7022292</v>
      </c>
      <c r="G35" s="404">
        <f t="shared" si="43"/>
        <v>0.1522113163962201</v>
      </c>
      <c r="H35" s="384">
        <f t="shared" si="44"/>
        <v>0.15221131639622013</v>
      </c>
      <c r="J35" s="385">
        <f>Ridership_FY2025!B29/'Revenue Hours_FY2025'!B29</f>
        <v>15.08483737680125</v>
      </c>
      <c r="K35" s="386">
        <f>Ridership_FY2025!C29/'Revenue Hours_FY2025'!C29</f>
        <v>12.685908078458269</v>
      </c>
      <c r="L35" s="386">
        <f>Ridership_FY2025!D29/'Revenue Hours_FY2025'!D29</f>
        <v>14.999735241854868</v>
      </c>
      <c r="M35" s="386">
        <f>Ridership_FY2025!E29/'Revenue Hours_FY2025'!E29</f>
        <v>16.489050494667865</v>
      </c>
      <c r="N35" s="387">
        <f t="shared" si="2"/>
        <v>1.1580336883020843</v>
      </c>
      <c r="O35" s="388">
        <f t="shared" si="3"/>
        <v>0.17626583212763031</v>
      </c>
      <c r="P35" s="389">
        <f t="shared" si="4"/>
        <v>0.16650983530763969</v>
      </c>
      <c r="Q35" s="385">
        <f>Ridership_FY2025!B29/'Revenue Miles_FY2025'!B29</f>
        <v>1.1884855709632467</v>
      </c>
      <c r="R35" s="386">
        <f>Ridership_FY2025!C29/'Revenue Miles_FY2025'!C29</f>
        <v>1.0554722157446399</v>
      </c>
      <c r="S35" s="386">
        <f>Ridership_FY2025!D29/'Revenue Miles_FY2025'!D29</f>
        <v>1.2009259173704827</v>
      </c>
      <c r="T35" s="386">
        <f>Ridership_FY2025!E29/'Revenue Miles_FY2025'!E29</f>
        <v>1.3706452252341543</v>
      </c>
      <c r="U35" s="387">
        <f t="shared" si="5"/>
        <v>1.1871164048487881</v>
      </c>
      <c r="V35" s="388">
        <f t="shared" si="6"/>
        <v>0.18069255069758222</v>
      </c>
      <c r="W35" s="389">
        <f t="shared" si="7"/>
        <v>0.17132349335931521</v>
      </c>
      <c r="X35" s="385">
        <f>'Op Cost_FY2025'!B29/'Revenue Hours_FY2025'!B29</f>
        <v>87.19640419871854</v>
      </c>
      <c r="Y35" s="386">
        <f>'Op Cost_FY2025'!C29/'Revenue Hours_FY2025'!C29</f>
        <v>106.94058914595765</v>
      </c>
      <c r="Z35" s="386">
        <f>'Op Cost_FY2025'!D29/'Revenue Hours_FY2025'!D29</f>
        <v>99.059409351732896</v>
      </c>
      <c r="AA35" s="386">
        <f>'Op Cost_FY2025'!E29/'Revenue Hours_FY2025'!E29</f>
        <v>117.86879438091567</v>
      </c>
      <c r="AB35" s="387">
        <f t="shared" si="8"/>
        <v>1.069009747172706</v>
      </c>
      <c r="AC35" s="388">
        <f t="shared" si="9"/>
        <v>0.14238534007644491</v>
      </c>
      <c r="AD35" s="389">
        <f t="shared" si="10"/>
        <v>0.15189085812942957</v>
      </c>
      <c r="AE35" s="385">
        <f>'Op Cost_FY2025'!B29/'Revenue Miles_FY2025'!B29</f>
        <v>6.8699228000581352</v>
      </c>
      <c r="AF35" s="386">
        <f>'Op Cost_FY2025'!C29/'Revenue Miles_FY2025'!C29</f>
        <v>8.897496330640184</v>
      </c>
      <c r="AG35" s="386">
        <f>'Op Cost_FY2025'!D29/'Revenue Miles_FY2025'!D29</f>
        <v>7.9310074565820816</v>
      </c>
      <c r="AH35" s="386">
        <f>'Op Cost_FY2025'!E29/'Revenue Miles_FY2025'!E29</f>
        <v>9.7977928004133119</v>
      </c>
      <c r="AI35" s="387">
        <f t="shared" si="11"/>
        <v>1.0939620676553767</v>
      </c>
      <c r="AJ35" s="388">
        <f t="shared" si="12"/>
        <v>0.13913765467430284</v>
      </c>
      <c r="AK35" s="389">
        <f t="shared" si="13"/>
        <v>0.14807739874683615</v>
      </c>
      <c r="AL35" s="385">
        <f>'Op Cost_FY2025'!B29/Ridership_FY2025!B29</f>
        <v>5.7804006778897481</v>
      </c>
      <c r="AM35" s="386">
        <f>'Op Cost_FY2025'!C29/Ridership_FY2025!C29</f>
        <v>8.4298726180707302</v>
      </c>
      <c r="AN35" s="386">
        <f>'Op Cost_FY2025'!D29/Ridership_FY2025!D29</f>
        <v>6.6040771889973175</v>
      </c>
      <c r="AO35" s="386">
        <f>'Op Cost_FY2025'!E29/Ridership_FY2025!E29</f>
        <v>7.148306957943479</v>
      </c>
      <c r="AP35" s="387">
        <f t="shared" si="14"/>
        <v>1.0036922938781936</v>
      </c>
      <c r="AQ35" s="388">
        <f t="shared" si="15"/>
        <v>0.15165137495286202</v>
      </c>
      <c r="AR35" s="389">
        <f t="shared" si="16"/>
        <v>0.16465232648558537</v>
      </c>
      <c r="AT35" s="391">
        <f t="shared" si="26"/>
        <v>0</v>
      </c>
      <c r="AU35" s="392">
        <f t="shared" si="17"/>
        <v>0</v>
      </c>
      <c r="AV35" s="392">
        <f t="shared" si="18"/>
        <v>0</v>
      </c>
      <c r="AW35" s="392">
        <f t="shared" si="19"/>
        <v>0</v>
      </c>
      <c r="AX35" s="393">
        <f t="shared" si="20"/>
        <v>0</v>
      </c>
      <c r="AY35" s="148">
        <f t="shared" si="27"/>
        <v>-1</v>
      </c>
      <c r="AZ35" s="394">
        <f t="shared" si="21"/>
        <v>0</v>
      </c>
      <c r="BA35" s="395">
        <f t="shared" si="21"/>
        <v>0</v>
      </c>
      <c r="BB35" s="395">
        <f t="shared" si="21"/>
        <v>0</v>
      </c>
      <c r="BC35" s="395">
        <f t="shared" si="21"/>
        <v>0</v>
      </c>
      <c r="BD35" s="395">
        <f t="shared" si="21"/>
        <v>0</v>
      </c>
      <c r="BE35" s="396">
        <f t="shared" si="28"/>
        <v>18606387.490427237</v>
      </c>
      <c r="BF35" s="114"/>
      <c r="BG35" s="397">
        <f>'Op Cost_FY2025'!E29</f>
        <v>68802962</v>
      </c>
      <c r="BH35" s="428">
        <f t="shared" si="22"/>
        <v>0.27043003599797399</v>
      </c>
      <c r="BI35" s="429">
        <f>IF(BE35&gt;BG35*$BI$4,BG35*$BI$4,BE35)</f>
        <v>18606387.490427237</v>
      </c>
      <c r="BJ35" s="400">
        <f t="shared" si="24"/>
        <v>0</v>
      </c>
      <c r="BL35" s="548">
        <f t="shared" si="29"/>
        <v>1.5403064206775827</v>
      </c>
      <c r="BM35" s="548">
        <f t="shared" si="30"/>
        <v>1.847395624059454</v>
      </c>
      <c r="BN35" s="549">
        <f t="shared" si="31"/>
        <v>1.535546351113634</v>
      </c>
      <c r="BO35" s="554">
        <f t="shared" si="25"/>
        <v>18606387.490427237</v>
      </c>
      <c r="BP35" s="562">
        <f t="shared" si="32"/>
        <v>1.6146986867410762</v>
      </c>
      <c r="BQ35" s="552">
        <f t="shared" si="33"/>
        <v>0.24577541269210706</v>
      </c>
      <c r="BR35" s="402">
        <f t="shared" si="34"/>
        <v>0.24577541269210706</v>
      </c>
      <c r="BS35" s="553">
        <f t="shared" si="35"/>
        <v>0.27736480821631559</v>
      </c>
      <c r="BT35" s="556">
        <f t="shared" si="36"/>
        <v>20990231.094546612</v>
      </c>
      <c r="BU35" s="540">
        <f t="shared" si="37"/>
        <v>20640888.599999998</v>
      </c>
      <c r="BV35" s="540">
        <f t="shared" si="38"/>
        <v>20640888.599999998</v>
      </c>
      <c r="BW35" s="540">
        <f t="shared" si="39"/>
        <v>349342.49454661459</v>
      </c>
      <c r="BX35" s="541">
        <f t="shared" si="40"/>
        <v>0</v>
      </c>
      <c r="BY35" s="542">
        <f t="shared" si="41"/>
        <v>0</v>
      </c>
      <c r="BZ35" s="563">
        <f t="shared" si="42"/>
        <v>20640888.599999998</v>
      </c>
      <c r="CA35" s="114"/>
    </row>
    <row r="36" spans="1:79">
      <c r="A36" s="403" t="s">
        <v>56</v>
      </c>
      <c r="B36" s="382" t="s">
        <v>86</v>
      </c>
      <c r="C36" s="179">
        <f>'Sizing - Reim Expen_FY2025'!B30</f>
        <v>10986817</v>
      </c>
      <c r="D36" s="178">
        <f>Ridership_FY2025!$E30</f>
        <v>3520078</v>
      </c>
      <c r="E36" s="178">
        <f>'Revenue Hours_FY2025'!$E30</f>
        <v>92885</v>
      </c>
      <c r="F36" s="178">
        <f>'Revenue Miles_FY2025'!$E30</f>
        <v>970481</v>
      </c>
      <c r="G36" s="404">
        <f t="shared" si="43"/>
        <v>3.8743461880209475E-2</v>
      </c>
      <c r="H36" s="384">
        <f t="shared" si="44"/>
        <v>3.8743461880209482E-2</v>
      </c>
      <c r="J36" s="385">
        <f>Ridership_FY2025!B30/'Revenue Hours_FY2025'!B30</f>
        <v>41.020012326113751</v>
      </c>
      <c r="K36" s="386">
        <f>Ridership_FY2025!C30/'Revenue Hours_FY2025'!C30</f>
        <v>7.7359808402431227</v>
      </c>
      <c r="L36" s="386">
        <f>Ridership_FY2025!D30/'Revenue Hours_FY2025'!D30</f>
        <v>32.633977790205321</v>
      </c>
      <c r="M36" s="386">
        <f>Ridership_FY2025!E30/'Revenue Hours_FY2025'!E30</f>
        <v>37.897163158744682</v>
      </c>
      <c r="N36" s="387">
        <f t="shared" si="2"/>
        <v>1.5374893226393143</v>
      </c>
      <c r="O36" s="388">
        <f t="shared" si="3"/>
        <v>5.9567658962905369E-2</v>
      </c>
      <c r="P36" s="389">
        <f t="shared" si="4"/>
        <v>5.6270696163015721E-2</v>
      </c>
      <c r="Q36" s="385">
        <f>Ridership_FY2025!B30/'Revenue Miles_FY2025'!B30</f>
        <v>4.0590237544714967</v>
      </c>
      <c r="R36" s="386">
        <f>Ridership_FY2025!C30/'Revenue Miles_FY2025'!C30</f>
        <v>0.74890286156611607</v>
      </c>
      <c r="S36" s="386">
        <f>Ridership_FY2025!D30/'Revenue Miles_FY2025'!D30</f>
        <v>3.1121743743196539</v>
      </c>
      <c r="T36" s="386">
        <f>Ridership_FY2025!E30/'Revenue Miles_FY2025'!E30</f>
        <v>3.6271477751754029</v>
      </c>
      <c r="U36" s="387">
        <f t="shared" si="5"/>
        <v>1.5439223358228489</v>
      </c>
      <c r="V36" s="388">
        <f t="shared" si="6"/>
        <v>5.981689616395653E-2</v>
      </c>
      <c r="W36" s="389">
        <f t="shared" si="7"/>
        <v>5.6715340910053237E-2</v>
      </c>
      <c r="X36" s="385">
        <f>'Op Cost_FY2025'!B30/'Revenue Hours_FY2025'!B30</f>
        <v>80.165865469272759</v>
      </c>
      <c r="Y36" s="386">
        <f>'Op Cost_FY2025'!C30/'Revenue Hours_FY2025'!C30</f>
        <v>94.638769882541524</v>
      </c>
      <c r="Z36" s="386">
        <f>'Op Cost_FY2025'!D30/'Revenue Hours_FY2025'!D30</f>
        <v>99.879114404410004</v>
      </c>
      <c r="AA36" s="386">
        <f>'Op Cost_FY2025'!E30/'Revenue Hours_FY2025'!E30</f>
        <v>129.41512623136137</v>
      </c>
      <c r="AB36" s="387">
        <f t="shared" si="8"/>
        <v>1.1373094562186856</v>
      </c>
      <c r="AC36" s="388">
        <f t="shared" si="9"/>
        <v>3.4065892680628304E-2</v>
      </c>
      <c r="AD36" s="389">
        <f t="shared" si="10"/>
        <v>3.6340101231121628E-2</v>
      </c>
      <c r="AE36" s="385">
        <f>'Op Cost_FY2025'!B30/'Revenue Miles_FY2025'!B30</f>
        <v>7.9325951842875142</v>
      </c>
      <c r="AF36" s="386">
        <f>'Op Cost_FY2025'!C30/'Revenue Miles_FY2025'!C30</f>
        <v>9.1617659148578081</v>
      </c>
      <c r="AG36" s="386">
        <f>'Op Cost_FY2025'!D30/'Revenue Miles_FY2025'!D30</f>
        <v>9.5250791177666656</v>
      </c>
      <c r="AH36" s="386">
        <f>'Op Cost_FY2025'!E30/'Revenue Miles_FY2025'!E30</f>
        <v>12.386356868398249</v>
      </c>
      <c r="AI36" s="387">
        <f t="shared" si="11"/>
        <v>1.1300370084817091</v>
      </c>
      <c r="AJ36" s="388">
        <f t="shared" si="12"/>
        <v>3.4285126583831337E-2</v>
      </c>
      <c r="AK36" s="389">
        <f t="shared" si="13"/>
        <v>3.6487982869366151E-2</v>
      </c>
      <c r="AL36" s="385">
        <f>'Op Cost_FY2025'!B30/Ridership_FY2025!B30</f>
        <v>1.9543111014191081</v>
      </c>
      <c r="AM36" s="386">
        <f>'Op Cost_FY2025'!C30/Ridership_FY2025!C30</f>
        <v>12.233583799771571</v>
      </c>
      <c r="AN36" s="386">
        <f>'Op Cost_FY2025'!D30/Ridership_FY2025!D30</f>
        <v>3.0605865777841972</v>
      </c>
      <c r="AO36" s="386">
        <f>'Op Cost_FY2025'!E30/Ridership_FY2025!E30</f>
        <v>3.4149027379506931</v>
      </c>
      <c r="AP36" s="387">
        <f t="shared" si="14"/>
        <v>1.4628694458817215</v>
      </c>
      <c r="AQ36" s="388">
        <f t="shared" si="15"/>
        <v>2.648456565230773E-2</v>
      </c>
      <c r="AR36" s="389">
        <f t="shared" si="16"/>
        <v>2.8755066361700634E-2</v>
      </c>
      <c r="AT36" s="391">
        <f t="shared" si="26"/>
        <v>0</v>
      </c>
      <c r="AU36" s="392">
        <f t="shared" si="17"/>
        <v>0</v>
      </c>
      <c r="AV36" s="392">
        <f t="shared" si="18"/>
        <v>0</v>
      </c>
      <c r="AW36" s="392">
        <f t="shared" si="19"/>
        <v>0</v>
      </c>
      <c r="AX36" s="393">
        <f t="shared" si="20"/>
        <v>0</v>
      </c>
      <c r="AY36" s="148">
        <f t="shared" si="27"/>
        <v>-1</v>
      </c>
      <c r="AZ36" s="394">
        <f t="shared" si="21"/>
        <v>0</v>
      </c>
      <c r="BA36" s="395">
        <f t="shared" si="21"/>
        <v>0</v>
      </c>
      <c r="BB36" s="395">
        <f t="shared" si="21"/>
        <v>0</v>
      </c>
      <c r="BC36" s="395">
        <f t="shared" si="21"/>
        <v>0</v>
      </c>
      <c r="BD36" s="395">
        <f t="shared" si="21"/>
        <v>0</v>
      </c>
      <c r="BE36" s="396">
        <f t="shared" si="28"/>
        <v>4736020.1694023041</v>
      </c>
      <c r="BG36" s="397">
        <f>'Op Cost_FY2025'!E30</f>
        <v>12020724</v>
      </c>
      <c r="BH36" s="398">
        <f t="shared" si="22"/>
        <v>0.3939879302945733</v>
      </c>
      <c r="BI36" s="399">
        <f t="shared" si="23"/>
        <v>3606217.1999999997</v>
      </c>
      <c r="BJ36" s="400">
        <f t="shared" si="24"/>
        <v>1129802.9694023044</v>
      </c>
      <c r="BL36" s="548">
        <f t="shared" si="29"/>
        <v>3.5401215951007479</v>
      </c>
      <c r="BM36" s="548">
        <f t="shared" si="30"/>
        <v>4.8887755958375703</v>
      </c>
      <c r="BN36" s="549">
        <f t="shared" si="31"/>
        <v>3.2143101892551753</v>
      </c>
      <c r="BO36" s="554">
        <f t="shared" si="25"/>
        <v>0</v>
      </c>
      <c r="BP36" s="562">
        <f t="shared" si="32"/>
        <v>3.7143793923621673</v>
      </c>
      <c r="BQ36" s="552">
        <f t="shared" si="33"/>
        <v>0.14390791639661929</v>
      </c>
      <c r="BR36" s="402">
        <f t="shared" si="34"/>
        <v>0</v>
      </c>
      <c r="BS36" s="553">
        <f t="shared" si="35"/>
        <v>0</v>
      </c>
      <c r="BT36" s="556">
        <f t="shared" si="36"/>
        <v>3606217.1999999997</v>
      </c>
      <c r="BU36" s="540">
        <f t="shared" si="37"/>
        <v>3606217.1999999997</v>
      </c>
      <c r="BV36" s="540">
        <f t="shared" si="38"/>
        <v>3606217.1999999997</v>
      </c>
      <c r="BW36" s="540">
        <f t="shared" si="39"/>
        <v>0</v>
      </c>
      <c r="BX36" s="541">
        <f t="shared" si="40"/>
        <v>0</v>
      </c>
      <c r="BY36" s="542">
        <f t="shared" si="41"/>
        <v>0</v>
      </c>
      <c r="BZ36" s="563">
        <f t="shared" si="42"/>
        <v>3606217.1999999997</v>
      </c>
      <c r="CA36" s="114"/>
    </row>
    <row r="37" spans="1:79">
      <c r="A37" s="403" t="s">
        <v>56</v>
      </c>
      <c r="B37" s="382" t="s">
        <v>87</v>
      </c>
      <c r="C37" s="179">
        <f>'Sizing - Reim Expen_FY2025'!B31</f>
        <v>2604889</v>
      </c>
      <c r="D37" s="178">
        <f>Ridership_FY2025!$E31</f>
        <v>120233</v>
      </c>
      <c r="E37" s="178">
        <f>'Revenue Hours_FY2025'!$E31</f>
        <v>32095</v>
      </c>
      <c r="F37" s="178">
        <f>'Revenue Miles_FY2025'!$E31</f>
        <v>388317</v>
      </c>
      <c r="G37" s="404">
        <f t="shared" si="43"/>
        <v>4.6171945352911758E-3</v>
      </c>
      <c r="H37" s="384">
        <f t="shared" si="44"/>
        <v>4.6171945352911766E-3</v>
      </c>
      <c r="J37" s="385">
        <f>Ridership_FY2025!B31/'Revenue Hours_FY2025'!B31</f>
        <v>8.58772210149559</v>
      </c>
      <c r="K37" s="386">
        <f>Ridership_FY2025!C31/'Revenue Hours_FY2025'!C31</f>
        <v>3.353975911522431</v>
      </c>
      <c r="L37" s="386">
        <f>Ridership_FY2025!D31/'Revenue Hours_FY2025'!D31</f>
        <v>4.039822296622992</v>
      </c>
      <c r="M37" s="386">
        <f>Ridership_FY2025!E31/'Revenue Hours_FY2025'!E31</f>
        <v>3.7461598379809939</v>
      </c>
      <c r="N37" s="387">
        <f t="shared" si="2"/>
        <v>0.82355293566047949</v>
      </c>
      <c r="O37" s="388">
        <f t="shared" si="3"/>
        <v>3.8025041140545717E-3</v>
      </c>
      <c r="P37" s="389">
        <f t="shared" si="4"/>
        <v>3.592042349588181E-3</v>
      </c>
      <c r="Q37" s="385">
        <f>Ridership_FY2025!B31/'Revenue Miles_FY2025'!B31</f>
        <v>0.78227240838260248</v>
      </c>
      <c r="R37" s="386">
        <f>Ridership_FY2025!C31/'Revenue Miles_FY2025'!C31</f>
        <v>0.29134203947124609</v>
      </c>
      <c r="S37" s="386">
        <f>Ridership_FY2025!D31/'Revenue Miles_FY2025'!D31</f>
        <v>0.3358526722031458</v>
      </c>
      <c r="T37" s="386">
        <f>Ridership_FY2025!E31/'Revenue Miles_FY2025'!E31</f>
        <v>0.30962589842834592</v>
      </c>
      <c r="U37" s="387">
        <f t="shared" si="5"/>
        <v>0.80034342624183574</v>
      </c>
      <c r="V37" s="388">
        <f t="shared" si="6"/>
        <v>3.6953412940000209E-3</v>
      </c>
      <c r="W37" s="389">
        <f t="shared" si="7"/>
        <v>3.5037348092042133E-3</v>
      </c>
      <c r="X37" s="385">
        <f>'Op Cost_FY2025'!B31/'Revenue Hours_FY2025'!B31</f>
        <v>50.245430141889301</v>
      </c>
      <c r="Y37" s="386">
        <f>'Op Cost_FY2025'!C31/'Revenue Hours_FY2025'!C31</f>
        <v>54.975878704341831</v>
      </c>
      <c r="Z37" s="386">
        <f>'Op Cost_FY2025'!D31/'Revenue Hours_FY2025'!D31</f>
        <v>56.597366641985644</v>
      </c>
      <c r="AA37" s="386">
        <f>'Op Cost_FY2025'!E31/'Revenue Hours_FY2025'!E31</f>
        <v>81.316934101885025</v>
      </c>
      <c r="AB37" s="387">
        <f t="shared" si="8"/>
        <v>1.1556230050053564</v>
      </c>
      <c r="AC37" s="388">
        <f t="shared" si="9"/>
        <v>3.9954159057864862E-3</v>
      </c>
      <c r="AD37" s="389">
        <f t="shared" si="10"/>
        <v>4.2621463009328217E-3</v>
      </c>
      <c r="AE37" s="385">
        <f>'Op Cost_FY2025'!B31/'Revenue Miles_FY2025'!B31</f>
        <v>4.5769545384416093</v>
      </c>
      <c r="AF37" s="386">
        <f>'Op Cost_FY2025'!C31/'Revenue Miles_FY2025'!C31</f>
        <v>4.775462032515458</v>
      </c>
      <c r="AG37" s="386">
        <f>'Op Cost_FY2025'!D31/'Revenue Miles_FY2025'!D31</f>
        <v>4.7052507339893959</v>
      </c>
      <c r="AH37" s="386">
        <f>'Op Cost_FY2025'!E31/'Revenue Miles_FY2025'!E31</f>
        <v>6.7209702382331962</v>
      </c>
      <c r="AI37" s="387">
        <f t="shared" si="11"/>
        <v>1.127283500961868</v>
      </c>
      <c r="AJ37" s="388">
        <f t="shared" si="12"/>
        <v>4.0958592327054377E-3</v>
      </c>
      <c r="AK37" s="389">
        <f t="shared" si="13"/>
        <v>4.3590225969523111E-3</v>
      </c>
      <c r="AL37" s="385">
        <f>'Op Cost_FY2025'!B31/Ridership_FY2025!B31</f>
        <v>5.8508449095178374</v>
      </c>
      <c r="AM37" s="386">
        <f>'Op Cost_FY2025'!C31/Ridership_FY2025!C31</f>
        <v>16.391256274523233</v>
      </c>
      <c r="AN37" s="386">
        <f>'Op Cost_FY2025'!D31/Ridership_FY2025!D31</f>
        <v>14.009865406529656</v>
      </c>
      <c r="AO37" s="386">
        <f>'Op Cost_FY2025'!E31/Ridership_FY2025!E31</f>
        <v>21.706744404614373</v>
      </c>
      <c r="AP37" s="390">
        <f t="shared" si="14"/>
        <v>1.4225629168992857</v>
      </c>
      <c r="AQ37" s="388">
        <f t="shared" si="15"/>
        <v>3.2456874001433457E-3</v>
      </c>
      <c r="AR37" s="389">
        <f t="shared" si="16"/>
        <v>3.5239375946618636E-3</v>
      </c>
      <c r="AT37" s="391">
        <f t="shared" si="26"/>
        <v>0</v>
      </c>
      <c r="AU37" s="392">
        <f t="shared" si="17"/>
        <v>0</v>
      </c>
      <c r="AV37" s="392">
        <f t="shared" si="18"/>
        <v>0</v>
      </c>
      <c r="AW37" s="392">
        <f t="shared" si="19"/>
        <v>0</v>
      </c>
      <c r="AX37" s="393">
        <f t="shared" si="20"/>
        <v>0</v>
      </c>
      <c r="AY37" s="148">
        <f t="shared" si="27"/>
        <v>-1</v>
      </c>
      <c r="AZ37" s="394">
        <f t="shared" si="21"/>
        <v>0</v>
      </c>
      <c r="BA37" s="395">
        <f t="shared" si="21"/>
        <v>0</v>
      </c>
      <c r="BB37" s="395">
        <f t="shared" si="21"/>
        <v>0</v>
      </c>
      <c r="BC37" s="395">
        <f t="shared" si="21"/>
        <v>0</v>
      </c>
      <c r="BD37" s="395">
        <f t="shared" si="21"/>
        <v>0</v>
      </c>
      <c r="BE37" s="396">
        <f t="shared" si="28"/>
        <v>564408.17066899862</v>
      </c>
      <c r="BG37" s="397">
        <f>'Op Cost_FY2025'!E31</f>
        <v>2609867</v>
      </c>
      <c r="BH37" s="398">
        <f t="shared" si="22"/>
        <v>0.21625936136554033</v>
      </c>
      <c r="BI37" s="399">
        <f t="shared" si="23"/>
        <v>564408.17066899862</v>
      </c>
      <c r="BJ37" s="400">
        <f t="shared" si="24"/>
        <v>0</v>
      </c>
      <c r="BL37" s="548">
        <f t="shared" si="29"/>
        <v>0.34994337928630659</v>
      </c>
      <c r="BM37" s="548">
        <f t="shared" si="30"/>
        <v>0.41732281944387561</v>
      </c>
      <c r="BN37" s="549">
        <f t="shared" si="31"/>
        <v>0.50567493960895105</v>
      </c>
      <c r="BO37" s="554">
        <f t="shared" si="25"/>
        <v>564408.17066899862</v>
      </c>
      <c r="BP37" s="562">
        <f t="shared" si="32"/>
        <v>0.4446540194870211</v>
      </c>
      <c r="BQ37" s="552">
        <f t="shared" si="33"/>
        <v>2.05305410887073E-3</v>
      </c>
      <c r="BR37" s="402">
        <f t="shared" si="34"/>
        <v>2.05305410887073E-3</v>
      </c>
      <c r="BS37" s="553">
        <f t="shared" si="35"/>
        <v>2.3169321655377132E-3</v>
      </c>
      <c r="BT37" s="556">
        <f t="shared" si="36"/>
        <v>584321.3094680924</v>
      </c>
      <c r="BU37" s="540">
        <f t="shared" si="37"/>
        <v>782960.1</v>
      </c>
      <c r="BV37" s="540">
        <f t="shared" si="38"/>
        <v>584321.3094680924</v>
      </c>
      <c r="BW37" s="540">
        <f t="shared" si="39"/>
        <v>0</v>
      </c>
      <c r="BX37" s="541">
        <f t="shared" si="40"/>
        <v>2.05305410887073E-3</v>
      </c>
      <c r="BY37" s="542">
        <f t="shared" si="41"/>
        <v>4.1328420425181421E-3</v>
      </c>
      <c r="BZ37" s="563">
        <f t="shared" si="42"/>
        <v>588017.36768881278</v>
      </c>
      <c r="CA37" s="114"/>
    </row>
    <row r="38" spans="1:79">
      <c r="A38" s="403" t="s">
        <v>56</v>
      </c>
      <c r="B38" s="382" t="s">
        <v>88</v>
      </c>
      <c r="C38" s="179">
        <f>'Sizing - Reim Expen_FY2025'!B32</f>
        <v>12745096</v>
      </c>
      <c r="D38" s="178">
        <f>Ridership_FY2025!$E32</f>
        <v>1287135</v>
      </c>
      <c r="E38" s="178">
        <f>'Revenue Hours_FY2025'!$E32</f>
        <v>141516</v>
      </c>
      <c r="F38" s="178">
        <f>'Revenue Miles_FY2025'!$E32</f>
        <v>2266478</v>
      </c>
      <c r="G38" s="404">
        <f t="shared" si="43"/>
        <v>2.8104578816997367E-2</v>
      </c>
      <c r="H38" s="384">
        <f t="shared" si="44"/>
        <v>2.8104578816997371E-2</v>
      </c>
      <c r="J38" s="385">
        <f>Ridership_FY2025!B32/'Revenue Hours_FY2025'!B32</f>
        <v>13.061303342191943</v>
      </c>
      <c r="K38" s="386">
        <f>Ridership_FY2025!C32/'Revenue Hours_FY2025'!C32</f>
        <v>7.5369057433360815</v>
      </c>
      <c r="L38" s="386">
        <f>Ridership_FY2025!D32/'Revenue Hours_FY2025'!D32</f>
        <v>7.2816302952503209</v>
      </c>
      <c r="M38" s="386">
        <f>Ridership_FY2025!E32/'Revenue Hours_FY2025'!E32</f>
        <v>9.0953319765962863</v>
      </c>
      <c r="N38" s="387">
        <f t="shared" si="2"/>
        <v>0.97259602799562239</v>
      </c>
      <c r="O38" s="388">
        <f t="shared" si="3"/>
        <v>2.7334401725901552E-2</v>
      </c>
      <c r="P38" s="389">
        <f t="shared" si="4"/>
        <v>2.5821491747289538E-2</v>
      </c>
      <c r="Q38" s="385">
        <f>Ridership_FY2025!B32/'Revenue Miles_FY2025'!B32</f>
        <v>0.76270122520155903</v>
      </c>
      <c r="R38" s="386">
        <f>Ridership_FY2025!C32/'Revenue Miles_FY2025'!C32</f>
        <v>0.4322966250764449</v>
      </c>
      <c r="S38" s="386">
        <f>Ridership_FY2025!D32/'Revenue Miles_FY2025'!D32</f>
        <v>0.43926607650153893</v>
      </c>
      <c r="T38" s="386">
        <f>Ridership_FY2025!E32/'Revenue Miles_FY2025'!E32</f>
        <v>0.56790094587284767</v>
      </c>
      <c r="U38" s="387">
        <f t="shared" si="5"/>
        <v>0.99166885616900835</v>
      </c>
      <c r="V38" s="388">
        <f t="shared" si="6"/>
        <v>2.7870435528563525E-2</v>
      </c>
      <c r="W38" s="389">
        <f t="shared" si="7"/>
        <v>2.6425330528376707E-2</v>
      </c>
      <c r="X38" s="385">
        <f>'Op Cost_FY2025'!B32/'Revenue Hours_FY2025'!B32</f>
        <v>69.193957147306961</v>
      </c>
      <c r="Y38" s="386">
        <f>'Op Cost_FY2025'!C32/'Revenue Hours_FY2025'!C32</f>
        <v>71.568899422918378</v>
      </c>
      <c r="Z38" s="386">
        <f>'Op Cost_FY2025'!D32/'Revenue Hours_FY2025'!D32</f>
        <v>68.191964056482675</v>
      </c>
      <c r="AA38" s="386">
        <f>'Op Cost_FY2025'!E32/'Revenue Hours_FY2025'!E32</f>
        <v>90.06116622855366</v>
      </c>
      <c r="AB38" s="387">
        <f t="shared" si="8"/>
        <v>1.0722259277819035</v>
      </c>
      <c r="AC38" s="388">
        <f t="shared" si="9"/>
        <v>2.6211433699553286E-2</v>
      </c>
      <c r="AD38" s="389">
        <f t="shared" si="10"/>
        <v>2.7961285588040875E-2</v>
      </c>
      <c r="AE38" s="385">
        <f>'Op Cost_FY2025'!B32/'Revenue Miles_FY2025'!B32</f>
        <v>4.0405091674364728</v>
      </c>
      <c r="AF38" s="386">
        <f>'Op Cost_FY2025'!C32/'Revenue Miles_FY2025'!C32</f>
        <v>4.104999416812201</v>
      </c>
      <c r="AG38" s="386">
        <f>'Op Cost_FY2025'!D32/'Revenue Miles_FY2025'!D32</f>
        <v>4.1136964231161048</v>
      </c>
      <c r="AH38" s="386">
        <f>'Op Cost_FY2025'!E32/'Revenue Miles_FY2025'!E32</f>
        <v>5.6233045279945362</v>
      </c>
      <c r="AI38" s="387">
        <f t="shared" si="11"/>
        <v>1.1036725581218729</v>
      </c>
      <c r="AJ38" s="388">
        <f t="shared" si="12"/>
        <v>2.5464598725570494E-2</v>
      </c>
      <c r="AK38" s="389">
        <f t="shared" si="13"/>
        <v>2.7100726602306956E-2</v>
      </c>
      <c r="AL38" s="385">
        <f>'Op Cost_FY2025'!B32/Ridership_FY2025!B32</f>
        <v>5.2976303615726961</v>
      </c>
      <c r="AM38" s="386">
        <f>'Op Cost_FY2025'!C32/Ridership_FY2025!C32</f>
        <v>9.4957933481120662</v>
      </c>
      <c r="AN38" s="386">
        <f>'Op Cost_FY2025'!D32/Ridership_FY2025!D32</f>
        <v>9.3649308316247648</v>
      </c>
      <c r="AO38" s="386">
        <f>'Op Cost_FY2025'!E32/Ridership_FY2025!E32</f>
        <v>9.9019108329740089</v>
      </c>
      <c r="AP38" s="387">
        <f t="shared" si="14"/>
        <v>1.1267330999760947</v>
      </c>
      <c r="AQ38" s="388">
        <f t="shared" si="15"/>
        <v>2.4943421665338181E-2</v>
      </c>
      <c r="AR38" s="389">
        <f t="shared" si="16"/>
        <v>2.7081801328774417E-2</v>
      </c>
      <c r="AT38" s="391">
        <f t="shared" si="26"/>
        <v>0</v>
      </c>
      <c r="AU38" s="392">
        <f t="shared" si="17"/>
        <v>0</v>
      </c>
      <c r="AV38" s="392">
        <f t="shared" si="18"/>
        <v>0</v>
      </c>
      <c r="AW38" s="392">
        <f t="shared" si="19"/>
        <v>0</v>
      </c>
      <c r="AX38" s="393">
        <f t="shared" si="20"/>
        <v>0</v>
      </c>
      <c r="AY38" s="148">
        <f t="shared" si="27"/>
        <v>-1</v>
      </c>
      <c r="AZ38" s="394">
        <f t="shared" si="21"/>
        <v>0</v>
      </c>
      <c r="BA38" s="395">
        <f t="shared" si="21"/>
        <v>0</v>
      </c>
      <c r="BB38" s="395">
        <f t="shared" si="21"/>
        <v>0</v>
      </c>
      <c r="BC38" s="395">
        <f t="shared" si="21"/>
        <v>0</v>
      </c>
      <c r="BD38" s="395">
        <f t="shared" si="21"/>
        <v>0</v>
      </c>
      <c r="BE38" s="396">
        <f t="shared" si="28"/>
        <v>3435517.7795262272</v>
      </c>
      <c r="BG38" s="397">
        <f>'Op Cost_FY2025'!E32</f>
        <v>12745096</v>
      </c>
      <c r="BH38" s="398">
        <f t="shared" si="22"/>
        <v>0.26955605352256484</v>
      </c>
      <c r="BI38" s="399">
        <f t="shared" si="23"/>
        <v>3435517.7795262272</v>
      </c>
      <c r="BJ38" s="400">
        <f t="shared" si="24"/>
        <v>0</v>
      </c>
      <c r="BL38" s="548">
        <f t="shared" si="29"/>
        <v>0.84963038024995641</v>
      </c>
      <c r="BM38" s="548">
        <f t="shared" si="30"/>
        <v>0.76543346373639032</v>
      </c>
      <c r="BN38" s="549">
        <f t="shared" si="31"/>
        <v>1.1085291365538923</v>
      </c>
      <c r="BO38" s="554">
        <f t="shared" si="25"/>
        <v>3435517.7795262272</v>
      </c>
      <c r="BP38" s="562">
        <f t="shared" si="32"/>
        <v>0.95803052927353283</v>
      </c>
      <c r="BQ38" s="552">
        <f t="shared" si="33"/>
        <v>2.6925044519057709E-2</v>
      </c>
      <c r="BR38" s="402">
        <f t="shared" si="34"/>
        <v>2.6925044519057709E-2</v>
      </c>
      <c r="BS38" s="553">
        <f t="shared" si="35"/>
        <v>3.0385707534543924E-2</v>
      </c>
      <c r="BT38" s="556">
        <f t="shared" si="36"/>
        <v>3696671.2222743528</v>
      </c>
      <c r="BU38" s="540">
        <f t="shared" si="37"/>
        <v>3823528.8</v>
      </c>
      <c r="BV38" s="540">
        <f t="shared" si="38"/>
        <v>3696671.2222743528</v>
      </c>
      <c r="BW38" s="540">
        <f t="shared" si="39"/>
        <v>0</v>
      </c>
      <c r="BX38" s="541">
        <f t="shared" si="40"/>
        <v>2.6925044519057709E-2</v>
      </c>
      <c r="BY38" s="542">
        <f t="shared" si="41"/>
        <v>5.4200693252182026E-2</v>
      </c>
      <c r="BZ38" s="563">
        <f t="shared" si="42"/>
        <v>3745143.657417655</v>
      </c>
      <c r="CA38" s="114"/>
    </row>
    <row r="39" spans="1:79">
      <c r="A39" s="403" t="s">
        <v>56</v>
      </c>
      <c r="B39" s="382" t="s">
        <v>89</v>
      </c>
      <c r="C39" s="179">
        <f>'Sizing - Reim Expen_FY2025'!B33</f>
        <v>736481</v>
      </c>
      <c r="D39" s="178">
        <f>Ridership_FY2025!$E33</f>
        <v>27254</v>
      </c>
      <c r="E39" s="178">
        <f>'Revenue Hours_FY2025'!$E33</f>
        <v>18878</v>
      </c>
      <c r="F39" s="178">
        <f>'Revenue Miles_FY2025'!$E33</f>
        <v>227896</v>
      </c>
      <c r="G39" s="404">
        <f t="shared" si="43"/>
        <v>1.8632723851484084E-3</v>
      </c>
      <c r="H39" s="384">
        <f t="shared" si="44"/>
        <v>1.8632723851484086E-3</v>
      </c>
      <c r="J39" s="385">
        <f>Ridership_FY2025!B33/'Revenue Hours_FY2025'!B33</f>
        <v>3.4694402420574888</v>
      </c>
      <c r="K39" s="386">
        <f>Ridership_FY2025!C33/'Revenue Hours_FY2025'!C33</f>
        <v>2.0660778541053322</v>
      </c>
      <c r="L39" s="386">
        <f>Ridership_FY2025!D33/'Revenue Hours_FY2025'!D33</f>
        <v>1.5442640125720273</v>
      </c>
      <c r="M39" s="386">
        <f>Ridership_FY2025!E33/'Revenue Hours_FY2025'!E33</f>
        <v>1.4436910689691704</v>
      </c>
      <c r="N39" s="387">
        <f t="shared" si="2"/>
        <v>0.84040025493262005</v>
      </c>
      <c r="O39" s="388">
        <f t="shared" si="3"/>
        <v>1.5658945874876336E-3</v>
      </c>
      <c r="P39" s="389">
        <f t="shared" si="4"/>
        <v>1.4792251381021836E-3</v>
      </c>
      <c r="Q39" s="385">
        <f>Ridership_FY2025!B33/'Revenue Miles_FY2025'!B33</f>
        <v>0.3128535569419939</v>
      </c>
      <c r="R39" s="386">
        <f>Ridership_FY2025!C33/'Revenue Miles_FY2025'!C33</f>
        <v>0.17929853281414856</v>
      </c>
      <c r="S39" s="386">
        <f>Ridership_FY2025!D33/'Revenue Miles_FY2025'!D33</f>
        <v>0.13392938268912755</v>
      </c>
      <c r="T39" s="386">
        <f>Ridership_FY2025!E33/'Revenue Miles_FY2025'!E33</f>
        <v>0.11958963737845332</v>
      </c>
      <c r="U39" s="387">
        <f t="shared" si="5"/>
        <v>0.8130013884664985</v>
      </c>
      <c r="V39" s="388">
        <f t="shared" si="6"/>
        <v>1.5148430362169406E-3</v>
      </c>
      <c r="W39" s="389">
        <f t="shared" si="7"/>
        <v>1.4362971791243332E-3</v>
      </c>
      <c r="X39" s="385">
        <f>'Op Cost_FY2025'!B33/'Revenue Hours_FY2025'!B33</f>
        <v>37.011396873424104</v>
      </c>
      <c r="Y39" s="386">
        <f>'Op Cost_FY2025'!C33/'Revenue Hours_FY2025'!C33</f>
        <v>43.551303020390364</v>
      </c>
      <c r="Z39" s="386">
        <f>'Op Cost_FY2025'!D33/'Revenue Hours_FY2025'!D33</f>
        <v>41.282399161864852</v>
      </c>
      <c r="AA39" s="386">
        <f>'Op Cost_FY2025'!E33/'Revenue Hours_FY2025'!E33</f>
        <v>39.012660239432144</v>
      </c>
      <c r="AB39" s="387">
        <f t="shared" si="8"/>
        <v>0.97493531099601194</v>
      </c>
      <c r="AC39" s="388">
        <f t="shared" si="9"/>
        <v>1.9111754022375653E-3</v>
      </c>
      <c r="AD39" s="389">
        <f t="shared" si="10"/>
        <v>2.0387637640635506E-3</v>
      </c>
      <c r="AE39" s="385">
        <f>'Op Cost_FY2025'!B33/'Revenue Miles_FY2025'!B33</f>
        <v>3.3374683958746383</v>
      </c>
      <c r="AF39" s="386">
        <f>'Op Cost_FY2025'!C33/'Revenue Miles_FY2025'!C33</f>
        <v>3.7794726458078038</v>
      </c>
      <c r="AG39" s="386">
        <f>'Op Cost_FY2025'!D33/'Revenue Miles_FY2025'!D33</f>
        <v>3.5802985698449907</v>
      </c>
      <c r="AH39" s="386">
        <f>'Op Cost_FY2025'!E33/'Revenue Miles_FY2025'!E33</f>
        <v>3.2316539123108785</v>
      </c>
      <c r="AI39" s="387">
        <f t="shared" si="11"/>
        <v>0.95024092814342698</v>
      </c>
      <c r="AJ39" s="388">
        <f t="shared" si="12"/>
        <v>1.9608420664313578E-3</v>
      </c>
      <c r="AK39" s="389">
        <f t="shared" si="13"/>
        <v>2.0868282797363545E-3</v>
      </c>
      <c r="AL39" s="385">
        <f>'Op Cost_FY2025'!B33/Ridership_FY2025!B33</f>
        <v>10.667829474265615</v>
      </c>
      <c r="AM39" s="386">
        <f>'Op Cost_FY2025'!C33/Ridership_FY2025!C33</f>
        <v>21.079216803884314</v>
      </c>
      <c r="AN39" s="386">
        <f>'Op Cost_FY2025'!D33/Ridership_FY2025!D33</f>
        <v>26.732734056987788</v>
      </c>
      <c r="AO39" s="386">
        <f>'Op Cost_FY2025'!E33/Ridership_FY2025!E33</f>
        <v>27.022859029867174</v>
      </c>
      <c r="AP39" s="390">
        <f t="shared" si="14"/>
        <v>1.2534142474100449</v>
      </c>
      <c r="AQ39" s="388">
        <f t="shared" si="15"/>
        <v>1.4865575279669318E-3</v>
      </c>
      <c r="AR39" s="389">
        <f t="shared" si="16"/>
        <v>1.613998920290018E-3</v>
      </c>
      <c r="AT39" s="391">
        <f t="shared" si="26"/>
        <v>0</v>
      </c>
      <c r="AU39" s="392">
        <f t="shared" si="17"/>
        <v>0</v>
      </c>
      <c r="AV39" s="392">
        <f t="shared" si="18"/>
        <v>0</v>
      </c>
      <c r="AW39" s="392">
        <f t="shared" si="19"/>
        <v>0</v>
      </c>
      <c r="AX39" s="393">
        <f t="shared" si="20"/>
        <v>0</v>
      </c>
      <c r="AY39" s="148">
        <f t="shared" si="27"/>
        <v>-1</v>
      </c>
      <c r="AZ39" s="394">
        <f t="shared" si="21"/>
        <v>0</v>
      </c>
      <c r="BA39" s="395">
        <f t="shared" si="21"/>
        <v>0</v>
      </c>
      <c r="BB39" s="395">
        <f t="shared" si="21"/>
        <v>0</v>
      </c>
      <c r="BC39" s="395">
        <f t="shared" si="21"/>
        <v>0</v>
      </c>
      <c r="BD39" s="395">
        <f t="shared" si="21"/>
        <v>0</v>
      </c>
      <c r="BE39" s="396">
        <f t="shared" si="28"/>
        <v>227767.34883520659</v>
      </c>
      <c r="BG39" s="397">
        <f>'Op Cost_FY2025'!E33</f>
        <v>736481</v>
      </c>
      <c r="BH39" s="398">
        <f t="shared" si="22"/>
        <v>0.30926439220456003</v>
      </c>
      <c r="BI39" s="399">
        <f t="shared" si="23"/>
        <v>220944.3</v>
      </c>
      <c r="BJ39" s="400">
        <f t="shared" si="24"/>
        <v>6823.0488352066022</v>
      </c>
      <c r="BL39" s="548">
        <f t="shared" si="29"/>
        <v>0.13486080497644132</v>
      </c>
      <c r="BM39" s="548">
        <f t="shared" si="30"/>
        <v>0.16118640236613313</v>
      </c>
      <c r="BN39" s="549">
        <f t="shared" si="31"/>
        <v>0.40619523840088151</v>
      </c>
      <c r="BO39" s="554">
        <f t="shared" si="25"/>
        <v>0</v>
      </c>
      <c r="BP39" s="562">
        <f t="shared" si="32"/>
        <v>0.27710942103608438</v>
      </c>
      <c r="BQ39" s="552">
        <f t="shared" si="33"/>
        <v>5.1633033188099953E-4</v>
      </c>
      <c r="BR39" s="402">
        <f t="shared" si="34"/>
        <v>0</v>
      </c>
      <c r="BS39" s="553">
        <f t="shared" si="35"/>
        <v>0</v>
      </c>
      <c r="BT39" s="556">
        <f t="shared" si="36"/>
        <v>220944.3</v>
      </c>
      <c r="BU39" s="540">
        <f t="shared" si="37"/>
        <v>220944.3</v>
      </c>
      <c r="BV39" s="540">
        <f t="shared" si="38"/>
        <v>220944.3</v>
      </c>
      <c r="BW39" s="540">
        <f t="shared" si="39"/>
        <v>0</v>
      </c>
      <c r="BX39" s="541">
        <f t="shared" si="40"/>
        <v>0</v>
      </c>
      <c r="BY39" s="542">
        <f t="shared" si="41"/>
        <v>0</v>
      </c>
      <c r="BZ39" s="563">
        <f t="shared" si="42"/>
        <v>220944.3</v>
      </c>
      <c r="CA39" s="114"/>
    </row>
    <row r="40" spans="1:79">
      <c r="A40" s="403" t="s">
        <v>57</v>
      </c>
      <c r="B40" s="382" t="s">
        <v>90</v>
      </c>
      <c r="C40" s="179">
        <f>'Sizing - Reim Expen_FY2025'!B34</f>
        <v>2068694</v>
      </c>
      <c r="D40" s="178">
        <f>Ridership_FY2025!$E34</f>
        <v>196967</v>
      </c>
      <c r="E40" s="178">
        <f>'Revenue Hours_FY2025'!$E34</f>
        <v>37781</v>
      </c>
      <c r="F40" s="178">
        <f>'Revenue Miles_FY2025'!$E34</f>
        <v>740596</v>
      </c>
      <c r="G40" s="404">
        <f t="shared" si="43"/>
        <v>5.8512263302081102E-3</v>
      </c>
      <c r="H40" s="384">
        <f t="shared" si="44"/>
        <v>5.851226330208111E-3</v>
      </c>
      <c r="J40" s="385">
        <f>Ridership_FY2025!B34/'Revenue Hours_FY2025'!B34</f>
        <v>8.9718507404266425</v>
      </c>
      <c r="K40" s="386">
        <f>Ridership_FY2025!C34/'Revenue Hours_FY2025'!C34</f>
        <v>4.4820247253569612</v>
      </c>
      <c r="L40" s="386">
        <f>Ridership_FY2025!D34/'Revenue Hours_FY2025'!D34</f>
        <v>4.4056907707718551</v>
      </c>
      <c r="M40" s="386">
        <f>Ridership_FY2025!E34/'Revenue Hours_FY2025'!E34</f>
        <v>5.2133876816389186</v>
      </c>
      <c r="N40" s="387">
        <f t="shared" si="2"/>
        <v>0.90835246138830117</v>
      </c>
      <c r="O40" s="388">
        <f t="shared" si="3"/>
        <v>5.3149758391845747E-3</v>
      </c>
      <c r="P40" s="389">
        <f t="shared" si="4"/>
        <v>5.0208014846910383E-3</v>
      </c>
      <c r="Q40" s="385">
        <f>Ridership_FY2025!B34/'Revenue Miles_FY2025'!B34</f>
        <v>0.47298136165339449</v>
      </c>
      <c r="R40" s="386">
        <f>Ridership_FY2025!C34/'Revenue Miles_FY2025'!C34</f>
        <v>0.24753017027607868</v>
      </c>
      <c r="S40" s="386">
        <f>Ridership_FY2025!D34/'Revenue Miles_FY2025'!D34</f>
        <v>0.22914428374898088</v>
      </c>
      <c r="T40" s="386">
        <f>Ridership_FY2025!E34/'Revenue Miles_FY2025'!E34</f>
        <v>0.26595741807949275</v>
      </c>
      <c r="U40" s="387">
        <f t="shared" si="5"/>
        <v>0.90311901263706085</v>
      </c>
      <c r="V40" s="388">
        <f t="shared" si="6"/>
        <v>5.2843537460535222E-3</v>
      </c>
      <c r="W40" s="389">
        <f t="shared" si="7"/>
        <v>5.0103556589640138E-3</v>
      </c>
      <c r="X40" s="385">
        <f>'Op Cost_FY2025'!B34/'Revenue Hours_FY2025'!B34</f>
        <v>69.175941026811927</v>
      </c>
      <c r="Y40" s="386">
        <f>'Op Cost_FY2025'!C34/'Revenue Hours_FY2025'!C34</f>
        <v>68.510851019247468</v>
      </c>
      <c r="Z40" s="386">
        <f>'Op Cost_FY2025'!D34/'Revenue Hours_FY2025'!D34</f>
        <v>68.297046322116032</v>
      </c>
      <c r="AA40" s="386">
        <f>'Op Cost_FY2025'!E34/'Revenue Hours_FY2025'!E34</f>
        <v>80.659776077922771</v>
      </c>
      <c r="AB40" s="387">
        <f t="shared" si="8"/>
        <v>1.0248673110642346</v>
      </c>
      <c r="AC40" s="388">
        <f t="shared" si="9"/>
        <v>5.7092525705909457E-3</v>
      </c>
      <c r="AD40" s="389">
        <f t="shared" si="10"/>
        <v>6.0903971698148887E-3</v>
      </c>
      <c r="AE40" s="385">
        <f>'Op Cost_FY2025'!B34/'Revenue Miles_FY2025'!B34</f>
        <v>3.6468429677599077</v>
      </c>
      <c r="AF40" s="386">
        <f>'Op Cost_FY2025'!C34/'Revenue Miles_FY2025'!C34</f>
        <v>3.7836700281038187</v>
      </c>
      <c r="AG40" s="386">
        <f>'Op Cost_FY2025'!D34/'Revenue Miles_FY2025'!D34</f>
        <v>3.5521961426517614</v>
      </c>
      <c r="AH40" s="386">
        <f>'Op Cost_FY2025'!E34/'Revenue Miles_FY2025'!E34</f>
        <v>4.1148034826005002</v>
      </c>
      <c r="AI40" s="387">
        <f t="shared" si="11"/>
        <v>1.0132979492896574</v>
      </c>
      <c r="AJ40" s="388">
        <f t="shared" si="12"/>
        <v>5.7744381445851535E-3</v>
      </c>
      <c r="AK40" s="389">
        <f t="shared" si="13"/>
        <v>6.145452010645377E-3</v>
      </c>
      <c r="AL40" s="385">
        <f>'Op Cost_FY2025'!B34/Ridership_FY2025!B34</f>
        <v>7.7103312380252964</v>
      </c>
      <c r="AM40" s="386">
        <f>'Op Cost_FY2025'!C34/Ridership_FY2025!C34</f>
        <v>15.285692341599267</v>
      </c>
      <c r="AN40" s="386">
        <f>'Op Cost_FY2025'!D34/Ridership_FY2025!D34</f>
        <v>15.502006353966314</v>
      </c>
      <c r="AO40" s="386">
        <f>'Op Cost_FY2025'!E34/Ridership_FY2025!E34</f>
        <v>15.471662765844025</v>
      </c>
      <c r="AP40" s="390">
        <f t="shared" si="14"/>
        <v>1.1399698582123643</v>
      </c>
      <c r="AQ40" s="388">
        <f t="shared" si="15"/>
        <v>5.1327903874438139E-3</v>
      </c>
      <c r="AR40" s="389">
        <f t="shared" si="16"/>
        <v>5.5728204173431635E-3</v>
      </c>
      <c r="AT40" s="391">
        <f t="shared" si="26"/>
        <v>0</v>
      </c>
      <c r="AU40" s="392">
        <f t="shared" si="17"/>
        <v>0</v>
      </c>
      <c r="AV40" s="392">
        <f t="shared" si="18"/>
        <v>0</v>
      </c>
      <c r="AW40" s="392">
        <f t="shared" si="19"/>
        <v>0</v>
      </c>
      <c r="AX40" s="393">
        <f t="shared" si="20"/>
        <v>0</v>
      </c>
      <c r="AY40" s="148">
        <f t="shared" si="27"/>
        <v>-1</v>
      </c>
      <c r="AZ40" s="394">
        <f t="shared" si="21"/>
        <v>0</v>
      </c>
      <c r="BA40" s="395">
        <f t="shared" si="21"/>
        <v>0</v>
      </c>
      <c r="BB40" s="395">
        <f t="shared" si="21"/>
        <v>0</v>
      </c>
      <c r="BC40" s="395">
        <f t="shared" si="21"/>
        <v>0</v>
      </c>
      <c r="BD40" s="395">
        <f t="shared" si="21"/>
        <v>0</v>
      </c>
      <c r="BE40" s="396">
        <f t="shared" si="28"/>
        <v>715256.83485085634</v>
      </c>
      <c r="BG40" s="397">
        <f>'Op Cost_FY2025'!E34</f>
        <v>3047407</v>
      </c>
      <c r="BH40" s="398">
        <f t="shared" si="22"/>
        <v>0.2347099796157377</v>
      </c>
      <c r="BI40" s="399">
        <f t="shared" si="23"/>
        <v>715256.83485085634</v>
      </c>
      <c r="BJ40" s="400">
        <f t="shared" si="24"/>
        <v>0</v>
      </c>
      <c r="BL40" s="548">
        <f t="shared" si="29"/>
        <v>0.48700284604663008</v>
      </c>
      <c r="BM40" s="548">
        <f t="shared" si="30"/>
        <v>0.35846516757264407</v>
      </c>
      <c r="BN40" s="549">
        <f t="shared" si="31"/>
        <v>0.709461990739785</v>
      </c>
      <c r="BO40" s="554">
        <f t="shared" si="25"/>
        <v>715256.83485085634</v>
      </c>
      <c r="BP40" s="562">
        <f t="shared" si="32"/>
        <v>0.56609799877471101</v>
      </c>
      <c r="BQ40" s="552">
        <f t="shared" si="33"/>
        <v>3.3123675159087082E-3</v>
      </c>
      <c r="BR40" s="402">
        <f t="shared" si="34"/>
        <v>3.3123675159087082E-3</v>
      </c>
      <c r="BS40" s="553">
        <f t="shared" si="35"/>
        <v>3.7381045187905287E-3</v>
      </c>
      <c r="BT40" s="556">
        <f t="shared" si="36"/>
        <v>747384.40217258676</v>
      </c>
      <c r="BU40" s="540">
        <f t="shared" si="37"/>
        <v>914222.1</v>
      </c>
      <c r="BV40" s="540">
        <f t="shared" si="38"/>
        <v>747384.40217258676</v>
      </c>
      <c r="BW40" s="540">
        <f t="shared" si="39"/>
        <v>0</v>
      </c>
      <c r="BX40" s="541">
        <f t="shared" si="40"/>
        <v>3.3123675159087082E-3</v>
      </c>
      <c r="BY40" s="542">
        <f t="shared" si="41"/>
        <v>6.6678669942842918E-3</v>
      </c>
      <c r="BZ40" s="563">
        <f t="shared" si="42"/>
        <v>753347.56852768874</v>
      </c>
      <c r="CA40" s="114"/>
    </row>
    <row r="41" spans="1:79">
      <c r="A41" s="403" t="s">
        <v>57</v>
      </c>
      <c r="B41" s="382" t="s">
        <v>91</v>
      </c>
      <c r="C41" s="179">
        <f>'Sizing - Reim Expen_FY2025'!B35</f>
        <v>6482376</v>
      </c>
      <c r="D41" s="178">
        <f>Ridership_FY2025!$E35</f>
        <v>1522746</v>
      </c>
      <c r="E41" s="178">
        <f>'Revenue Hours_FY2025'!$E35</f>
        <v>72014</v>
      </c>
      <c r="F41" s="178">
        <f>'Revenue Miles_FY2025'!$E35</f>
        <v>723645</v>
      </c>
      <c r="G41" s="404">
        <f t="shared" si="43"/>
        <v>1.969668618813409E-2</v>
      </c>
      <c r="H41" s="384">
        <f t="shared" si="44"/>
        <v>1.9696686188134093E-2</v>
      </c>
      <c r="J41" s="385">
        <f>Ridership_FY2025!B35/'Revenue Hours_FY2025'!B35</f>
        <v>28.025032050011234</v>
      </c>
      <c r="K41" s="386">
        <f>Ridership_FY2025!C35/'Revenue Hours_FY2025'!C35</f>
        <v>6.5232631919715116</v>
      </c>
      <c r="L41" s="386">
        <f>Ridership_FY2025!D35/'Revenue Hours_FY2025'!D35</f>
        <v>18.24961092626382</v>
      </c>
      <c r="M41" s="386">
        <f>Ridership_FY2025!E35/'Revenue Hours_FY2025'!E35</f>
        <v>21.145138445302301</v>
      </c>
      <c r="N41" s="387">
        <f t="shared" si="2"/>
        <v>1.1978340749715837</v>
      </c>
      <c r="O41" s="388">
        <f t="shared" si="3"/>
        <v>2.359336188016917E-2</v>
      </c>
      <c r="P41" s="389">
        <f t="shared" si="4"/>
        <v>2.2287511729306396E-2</v>
      </c>
      <c r="Q41" s="385">
        <f>Ridership_FY2025!B35/'Revenue Miles_FY2025'!B35</f>
        <v>2.8699282943585609</v>
      </c>
      <c r="R41" s="386">
        <f>Ridership_FY2025!C35/'Revenue Miles_FY2025'!C35</f>
        <v>0.66929775146545356</v>
      </c>
      <c r="S41" s="386">
        <f>Ridership_FY2025!D35/'Revenue Miles_FY2025'!D35</f>
        <v>1.8049204125068334</v>
      </c>
      <c r="T41" s="386">
        <f>Ridership_FY2025!E35/'Revenue Miles_FY2025'!E35</f>
        <v>2.1042721223804488</v>
      </c>
      <c r="U41" s="387">
        <f t="shared" si="5"/>
        <v>1.1884918056903948</v>
      </c>
      <c r="V41" s="388">
        <f t="shared" si="6"/>
        <v>2.3409350133852549E-2</v>
      </c>
      <c r="W41" s="389">
        <f t="shared" si="7"/>
        <v>2.2195556079759496E-2</v>
      </c>
      <c r="X41" s="385">
        <f>'Op Cost_FY2025'!B35/'Revenue Hours_FY2025'!B35</f>
        <v>65.071448396177786</v>
      </c>
      <c r="Y41" s="386">
        <f>'Op Cost_FY2025'!C35/'Revenue Hours_FY2025'!C35</f>
        <v>76.682473292327614</v>
      </c>
      <c r="Z41" s="386">
        <f>'Op Cost_FY2025'!D35/'Revenue Hours_FY2025'!D35</f>
        <v>79.970349898035849</v>
      </c>
      <c r="AA41" s="386">
        <f>'Op Cost_FY2025'!E35/'Revenue Hours_FY2025'!E35</f>
        <v>91.352487016413477</v>
      </c>
      <c r="AB41" s="387">
        <f t="shared" si="8"/>
        <v>1.0776531680080332</v>
      </c>
      <c r="AC41" s="388">
        <f t="shared" si="9"/>
        <v>1.827738902725266E-2</v>
      </c>
      <c r="AD41" s="389">
        <f t="shared" si="10"/>
        <v>1.9497571184114437E-2</v>
      </c>
      <c r="AE41" s="385">
        <f>'Op Cost_FY2025'!B35/'Revenue Miles_FY2025'!B35</f>
        <v>6.6636994588917435</v>
      </c>
      <c r="AF41" s="386">
        <f>'Op Cost_FY2025'!C35/'Revenue Miles_FY2025'!C35</f>
        <v>7.8677504557122129</v>
      </c>
      <c r="AG41" s="386">
        <f>'Op Cost_FY2025'!D35/'Revenue Miles_FY2025'!D35</f>
        <v>7.9092161202490328</v>
      </c>
      <c r="AH41" s="386">
        <f>'Op Cost_FY2025'!E35/'Revenue Miles_FY2025'!E35</f>
        <v>9.0910018033704372</v>
      </c>
      <c r="AI41" s="387">
        <f t="shared" si="11"/>
        <v>1.0712438771767705</v>
      </c>
      <c r="AJ41" s="388">
        <f t="shared" si="12"/>
        <v>1.8386743306336637E-2</v>
      </c>
      <c r="AK41" s="389">
        <f t="shared" si="13"/>
        <v>1.9568111354193868E-2</v>
      </c>
      <c r="AL41" s="385">
        <f>'Op Cost_FY2025'!B35/Ridership_FY2025!B35</f>
        <v>2.3219045130816078</v>
      </c>
      <c r="AM41" s="386">
        <f>'Op Cost_FY2025'!C35/Ridership_FY2025!C35</f>
        <v>11.755232164586637</v>
      </c>
      <c r="AN41" s="386">
        <f>'Op Cost_FY2025'!D35/Ridership_FY2025!D35</f>
        <v>4.3820304016973317</v>
      </c>
      <c r="AO41" s="386">
        <f>'Op Cost_FY2025'!E35/Ridership_FY2025!E35</f>
        <v>4.3202595836731801</v>
      </c>
      <c r="AP41" s="390">
        <f t="shared" si="14"/>
        <v>1.2919205262644085</v>
      </c>
      <c r="AQ41" s="388">
        <f t="shared" si="15"/>
        <v>1.5246050966530514E-2</v>
      </c>
      <c r="AR41" s="389">
        <f t="shared" si="16"/>
        <v>1.6553082767217481E-2</v>
      </c>
      <c r="AT41" s="391">
        <f t="shared" si="26"/>
        <v>0</v>
      </c>
      <c r="AU41" s="392">
        <f t="shared" si="17"/>
        <v>0</v>
      </c>
      <c r="AV41" s="392">
        <f t="shared" si="18"/>
        <v>0</v>
      </c>
      <c r="AW41" s="392">
        <f t="shared" si="19"/>
        <v>0</v>
      </c>
      <c r="AX41" s="393">
        <f t="shared" si="20"/>
        <v>0</v>
      </c>
      <c r="AY41" s="148">
        <f t="shared" si="27"/>
        <v>-1</v>
      </c>
      <c r="AZ41" s="394">
        <f t="shared" si="21"/>
        <v>0</v>
      </c>
      <c r="BA41" s="395">
        <f t="shared" si="21"/>
        <v>0</v>
      </c>
      <c r="BB41" s="395">
        <f t="shared" si="21"/>
        <v>0</v>
      </c>
      <c r="BC41" s="395">
        <f t="shared" si="21"/>
        <v>0</v>
      </c>
      <c r="BD41" s="395">
        <f t="shared" si="21"/>
        <v>0</v>
      </c>
      <c r="BE41" s="396">
        <f t="shared" si="28"/>
        <v>2407732.7768441141</v>
      </c>
      <c r="BG41" s="397">
        <f>'Op Cost_FY2025'!E35</f>
        <v>6578658</v>
      </c>
      <c r="BH41" s="398">
        <f t="shared" si="22"/>
        <v>0.36599147984955505</v>
      </c>
      <c r="BI41" s="399">
        <f t="shared" si="23"/>
        <v>1973597.4</v>
      </c>
      <c r="BJ41" s="400">
        <f t="shared" si="24"/>
        <v>434135.37684411416</v>
      </c>
      <c r="BL41" s="548">
        <f t="shared" si="29"/>
        <v>1.9752497285363904</v>
      </c>
      <c r="BM41" s="548">
        <f t="shared" si="30"/>
        <v>2.8361993600873867</v>
      </c>
      <c r="BN41" s="549">
        <f t="shared" si="31"/>
        <v>2.5407169299252614</v>
      </c>
      <c r="BO41" s="554">
        <f t="shared" si="25"/>
        <v>0</v>
      </c>
      <c r="BP41" s="562">
        <f t="shared" si="32"/>
        <v>2.473220737118575</v>
      </c>
      <c r="BQ41" s="552">
        <f t="shared" si="33"/>
        <v>4.8714252733010256E-2</v>
      </c>
      <c r="BR41" s="402">
        <f t="shared" si="34"/>
        <v>0</v>
      </c>
      <c r="BS41" s="553">
        <f t="shared" si="35"/>
        <v>0</v>
      </c>
      <c r="BT41" s="556">
        <f t="shared" si="36"/>
        <v>1973597.4</v>
      </c>
      <c r="BU41" s="540">
        <f t="shared" si="37"/>
        <v>1973597.4</v>
      </c>
      <c r="BV41" s="540">
        <f t="shared" si="38"/>
        <v>1973597.4</v>
      </c>
      <c r="BW41" s="540">
        <f t="shared" si="39"/>
        <v>0</v>
      </c>
      <c r="BX41" s="541">
        <f t="shared" si="40"/>
        <v>0</v>
      </c>
      <c r="BY41" s="542">
        <f t="shared" si="41"/>
        <v>0</v>
      </c>
      <c r="BZ41" s="563">
        <f t="shared" si="42"/>
        <v>1973597.4</v>
      </c>
      <c r="CA41" s="114"/>
    </row>
    <row r="42" spans="1:79">
      <c r="A42" s="403" t="s">
        <v>57</v>
      </c>
      <c r="B42" s="382" t="s">
        <v>93</v>
      </c>
      <c r="C42" s="179">
        <f>'Sizing - Reim Expen_FY2025'!B36</f>
        <v>1899811</v>
      </c>
      <c r="D42" s="178">
        <f>Ridership_FY2025!$E36</f>
        <v>180625</v>
      </c>
      <c r="E42" s="178">
        <f>'Revenue Hours_FY2025'!$E36</f>
        <v>20219</v>
      </c>
      <c r="F42" s="178">
        <f>'Revenue Miles_FY2025'!$E36</f>
        <v>226791</v>
      </c>
      <c r="G42" s="383">
        <f t="shared" si="43"/>
        <v>3.8141294206356165E-3</v>
      </c>
      <c r="H42" s="384">
        <f t="shared" si="44"/>
        <v>3.8141294206356169E-3</v>
      </c>
      <c r="J42" s="385">
        <f>Ridership_FY2025!B36/'Revenue Hours_FY2025'!B36</f>
        <v>7.608599966141866</v>
      </c>
      <c r="K42" s="386">
        <f>Ridership_FY2025!C36/'Revenue Hours_FY2025'!C36</f>
        <v>5.1692512721104915</v>
      </c>
      <c r="L42" s="386">
        <f>Ridership_FY2025!D36/'Revenue Hours_FY2025'!D36</f>
        <v>7.7540727902946278</v>
      </c>
      <c r="M42" s="386">
        <f>Ridership_FY2025!E36/'Revenue Hours_FY2025'!E36</f>
        <v>8.9334289529650324</v>
      </c>
      <c r="N42" s="387">
        <f t="shared" si="2"/>
        <v>1.1500971386548942</v>
      </c>
      <c r="O42" s="388">
        <f t="shared" si="3"/>
        <v>4.3866193331324726E-3</v>
      </c>
      <c r="P42" s="389">
        <f t="shared" si="4"/>
        <v>4.1438278417357611E-3</v>
      </c>
      <c r="Q42" s="385">
        <f>Ridership_FY2025!B36/'Revenue Miles_FY2025'!B36</f>
        <v>0.70818473562300743</v>
      </c>
      <c r="R42" s="386">
        <f>Ridership_FY2025!C36/'Revenue Miles_FY2025'!C36</f>
        <v>0.48672727894958989</v>
      </c>
      <c r="S42" s="386">
        <f>Ridership_FY2025!D36/'Revenue Miles_FY2025'!D36</f>
        <v>0.72460145651246777</v>
      </c>
      <c r="T42" s="386">
        <f>Ridership_FY2025!E36/'Revenue Miles_FY2025'!E36</f>
        <v>0.79643813026090104</v>
      </c>
      <c r="U42" s="387">
        <f t="shared" si="5"/>
        <v>1.1400155949855248</v>
      </c>
      <c r="V42" s="388">
        <f t="shared" si="6"/>
        <v>4.3481670208177078E-3</v>
      </c>
      <c r="W42" s="389">
        <f t="shared" si="7"/>
        <v>4.1227109852637871E-3</v>
      </c>
      <c r="X42" s="385">
        <f>'Op Cost_FY2025'!B36/'Revenue Hours_FY2025'!B36</f>
        <v>63.818012527509737</v>
      </c>
      <c r="Y42" s="386">
        <f>'Op Cost_FY2025'!C36/'Revenue Hours_FY2025'!C36</f>
        <v>76.918100314998782</v>
      </c>
      <c r="Z42" s="386">
        <f>'Op Cost_FY2025'!D36/'Revenue Hours_FY2025'!D36</f>
        <v>82.248006932409012</v>
      </c>
      <c r="AA42" s="386">
        <f>'Op Cost_FY2025'!E36/'Revenue Hours_FY2025'!E36</f>
        <v>95.121865571986746</v>
      </c>
      <c r="AB42" s="387">
        <f t="shared" si="8"/>
        <v>1.0988498860626592</v>
      </c>
      <c r="AC42" s="388">
        <f t="shared" si="9"/>
        <v>3.4710195350724418E-3</v>
      </c>
      <c r="AD42" s="389">
        <f t="shared" si="10"/>
        <v>3.702741697165671E-3</v>
      </c>
      <c r="AE42" s="385">
        <f>'Op Cost_FY2025'!B36/'Revenue Miles_FY2025'!B36</f>
        <v>5.9399814066841392</v>
      </c>
      <c r="AF42" s="386">
        <f>'Op Cost_FY2025'!C36/'Revenue Miles_FY2025'!C36</f>
        <v>7.2424681443287211</v>
      </c>
      <c r="AG42" s="386">
        <f>'Op Cost_FY2025'!D36/'Revenue Miles_FY2025'!D36</f>
        <v>7.6858996852680619</v>
      </c>
      <c r="AH42" s="386">
        <f>'Op Cost_FY2025'!E36/'Revenue Miles_FY2025'!E36</f>
        <v>8.480358568020776</v>
      </c>
      <c r="AI42" s="387">
        <f t="shared" si="11"/>
        <v>1.0842189748815474</v>
      </c>
      <c r="AJ42" s="388">
        <f t="shared" si="12"/>
        <v>3.5178589463925555E-3</v>
      </c>
      <c r="AK42" s="389">
        <f t="shared" si="13"/>
        <v>3.7438851701178098E-3</v>
      </c>
      <c r="AL42" s="385">
        <f>'Op Cost_FY2025'!B36/Ridership_FY2025!B36</f>
        <v>8.3876156995372018</v>
      </c>
      <c r="AM42" s="386">
        <f>'Op Cost_FY2025'!C36/Ridership_FY2025!C36</f>
        <v>14.879930625541988</v>
      </c>
      <c r="AN42" s="386">
        <f>'Op Cost_FY2025'!D36/Ridership_FY2025!D36</f>
        <v>10.607071813325586</v>
      </c>
      <c r="AO42" s="386">
        <f>'Op Cost_FY2025'!E36/Ridership_FY2025!E36</f>
        <v>10.647856055363322</v>
      </c>
      <c r="AP42" s="390">
        <f t="shared" si="14"/>
        <v>0.98408901154710049</v>
      </c>
      <c r="AQ42" s="388">
        <f t="shared" si="15"/>
        <v>3.8757971848901846E-3</v>
      </c>
      <c r="AR42" s="389">
        <f t="shared" si="16"/>
        <v>4.2080661891579366E-3</v>
      </c>
      <c r="AT42" s="391">
        <f t="shared" si="26"/>
        <v>0</v>
      </c>
      <c r="AU42" s="392">
        <f t="shared" si="17"/>
        <v>0</v>
      </c>
      <c r="AV42" s="392">
        <f t="shared" si="18"/>
        <v>0</v>
      </c>
      <c r="AW42" s="392">
        <f t="shared" si="19"/>
        <v>0</v>
      </c>
      <c r="AX42" s="393">
        <f t="shared" si="20"/>
        <v>0</v>
      </c>
      <c r="AY42" s="148">
        <f t="shared" si="27"/>
        <v>-1</v>
      </c>
      <c r="AZ42" s="394">
        <f t="shared" si="21"/>
        <v>0</v>
      </c>
      <c r="BA42" s="395">
        <f t="shared" si="21"/>
        <v>0</v>
      </c>
      <c r="BB42" s="395">
        <f t="shared" si="21"/>
        <v>0</v>
      </c>
      <c r="BC42" s="395">
        <f t="shared" si="21"/>
        <v>0</v>
      </c>
      <c r="BD42" s="395">
        <f t="shared" si="21"/>
        <v>0</v>
      </c>
      <c r="BE42" s="396">
        <f t="shared" si="28"/>
        <v>466241.08915956633</v>
      </c>
      <c r="BG42" s="397">
        <f>'Op Cost_FY2025'!E36</f>
        <v>1923269</v>
      </c>
      <c r="BH42" s="398">
        <f t="shared" si="22"/>
        <v>0.24242115333817907</v>
      </c>
      <c r="BI42" s="399">
        <f t="shared" si="23"/>
        <v>466241.08915956633</v>
      </c>
      <c r="BJ42" s="400">
        <f t="shared" si="24"/>
        <v>0</v>
      </c>
      <c r="BL42" s="548">
        <f t="shared" si="29"/>
        <v>0.83450638830712265</v>
      </c>
      <c r="BM42" s="548">
        <f t="shared" si="30"/>
        <v>1.0734625485794298</v>
      </c>
      <c r="BN42" s="549">
        <f t="shared" si="31"/>
        <v>1.0308701215378866</v>
      </c>
      <c r="BO42" s="554">
        <f t="shared" si="25"/>
        <v>466241.08915956633</v>
      </c>
      <c r="BP42" s="562">
        <f t="shared" si="32"/>
        <v>0.99242729499058147</v>
      </c>
      <c r="BQ42" s="552">
        <f t="shared" si="33"/>
        <v>3.7852461436653989E-3</v>
      </c>
      <c r="BR42" s="402">
        <f t="shared" si="34"/>
        <v>3.7852461436653989E-3</v>
      </c>
      <c r="BS42" s="553">
        <f t="shared" si="35"/>
        <v>4.2717620090197833E-3</v>
      </c>
      <c r="BT42" s="556">
        <f t="shared" si="36"/>
        <v>502955.23688799806</v>
      </c>
      <c r="BU42" s="540">
        <f t="shared" si="37"/>
        <v>576980.69999999995</v>
      </c>
      <c r="BV42" s="540">
        <f t="shared" si="38"/>
        <v>502955.23688799806</v>
      </c>
      <c r="BW42" s="540">
        <f t="shared" si="39"/>
        <v>0</v>
      </c>
      <c r="BX42" s="541">
        <f t="shared" si="40"/>
        <v>3.7852461436653989E-3</v>
      </c>
      <c r="BY42" s="542">
        <f t="shared" si="41"/>
        <v>7.6197818344031941E-3</v>
      </c>
      <c r="BZ42" s="563">
        <f t="shared" si="42"/>
        <v>509769.71394746541</v>
      </c>
      <c r="CA42" s="114"/>
    </row>
    <row r="43" spans="1:79">
      <c r="A43" s="403" t="s">
        <v>58</v>
      </c>
      <c r="B43" s="382" t="s">
        <v>94</v>
      </c>
      <c r="C43" s="179">
        <f>'Sizing - Reim Expen_FY2025'!B37</f>
        <v>4550086</v>
      </c>
      <c r="D43" s="178">
        <f>Ridership_FY2025!$E37</f>
        <v>129839</v>
      </c>
      <c r="E43" s="178">
        <f>'Revenue Hours_FY2025'!$E37</f>
        <v>61652</v>
      </c>
      <c r="F43" s="178">
        <f>'Revenue Miles_FY2025'!$E37</f>
        <v>1393044</v>
      </c>
      <c r="G43" s="404">
        <f t="shared" si="43"/>
        <v>9.3510666485670055E-3</v>
      </c>
      <c r="H43" s="384">
        <f t="shared" si="44"/>
        <v>9.3510666485670073E-3</v>
      </c>
      <c r="J43" s="385">
        <f>Ridership_FY2025!B37/'Revenue Hours_FY2025'!B37</f>
        <v>2.3373679249962795</v>
      </c>
      <c r="K43" s="386">
        <f>Ridership_FY2025!C37/'Revenue Hours_FY2025'!C37</f>
        <v>1.944317205840252</v>
      </c>
      <c r="L43" s="386">
        <f>Ridership_FY2025!D37/'Revenue Hours_FY2025'!D37</f>
        <v>2.0984220777077214</v>
      </c>
      <c r="M43" s="386">
        <f>Ridership_FY2025!E37/'Revenue Hours_FY2025'!E37</f>
        <v>2.1059981833517161</v>
      </c>
      <c r="N43" s="387">
        <f t="shared" si="2"/>
        <v>1.0987525202440334</v>
      </c>
      <c r="O43" s="388">
        <f t="shared" si="3"/>
        <v>1.0274508047082926E-2</v>
      </c>
      <c r="P43" s="389">
        <f t="shared" si="4"/>
        <v>9.7058325038742524E-3</v>
      </c>
      <c r="Q43" s="385">
        <f>Ridership_FY2025!B37/'Revenue Miles_FY2025'!B37</f>
        <v>9.8864253896849164E-2</v>
      </c>
      <c r="R43" s="386">
        <f>Ridership_FY2025!C37/'Revenue Miles_FY2025'!C37</f>
        <v>8.4847547858705061E-2</v>
      </c>
      <c r="S43" s="386">
        <f>Ridership_FY2025!D37/'Revenue Miles_FY2025'!D37</f>
        <v>9.06701755136681E-2</v>
      </c>
      <c r="T43" s="386">
        <f>Ridership_FY2025!E37/'Revenue Miles_FY2025'!E37</f>
        <v>9.3205239748349655E-2</v>
      </c>
      <c r="U43" s="387">
        <f t="shared" si="5"/>
        <v>1.1181230609285835</v>
      </c>
      <c r="V43" s="388">
        <f t="shared" si="6"/>
        <v>1.0455643264042932E-2</v>
      </c>
      <c r="W43" s="389">
        <f t="shared" si="7"/>
        <v>9.91350956306245E-3</v>
      </c>
      <c r="X43" s="385">
        <f>'Op Cost_FY2025'!B37/'Revenue Hours_FY2025'!B37</f>
        <v>59.71751244274683</v>
      </c>
      <c r="Y43" s="386">
        <f>'Op Cost_FY2025'!C37/'Revenue Hours_FY2025'!C37</f>
        <v>69.859111079301456</v>
      </c>
      <c r="Z43" s="386">
        <f>'Op Cost_FY2025'!D37/'Revenue Hours_FY2025'!D37</f>
        <v>76.546396857359781</v>
      </c>
      <c r="AA43" s="386">
        <f>'Op Cost_FY2025'!E37/'Revenue Hours_FY2025'!E37</f>
        <v>81.113410757153048</v>
      </c>
      <c r="AB43" s="387">
        <f t="shared" si="8"/>
        <v>1.0632798059501944</v>
      </c>
      <c r="AC43" s="388">
        <f t="shared" si="9"/>
        <v>8.7945492769050341E-3</v>
      </c>
      <c r="AD43" s="389">
        <f t="shared" si="10"/>
        <v>9.3816655268967961E-3</v>
      </c>
      <c r="AE43" s="385">
        <f>'Op Cost_FY2025'!B37/'Revenue Miles_FY2025'!B37</f>
        <v>2.5258870240710474</v>
      </c>
      <c r="AF43" s="386">
        <f>'Op Cost_FY2025'!C37/'Revenue Miles_FY2025'!C37</f>
        <v>3.0485633994613872</v>
      </c>
      <c r="AG43" s="386">
        <f>'Op Cost_FY2025'!D37/'Revenue Miles_FY2025'!D37</f>
        <v>3.3074734162048824</v>
      </c>
      <c r="AH43" s="386">
        <f>'Op Cost_FY2025'!E37/'Revenue Miles_FY2025'!E37</f>
        <v>3.5898392297730726</v>
      </c>
      <c r="AI43" s="387">
        <f t="shared" si="11"/>
        <v>1.082538952054394</v>
      </c>
      <c r="AJ43" s="388">
        <f t="shared" si="12"/>
        <v>8.6380879235993975E-3</v>
      </c>
      <c r="AK43" s="389">
        <f t="shared" si="13"/>
        <v>9.1930943702279774E-3</v>
      </c>
      <c r="AL43" s="385">
        <f>'Op Cost_FY2025'!B37/Ridership_FY2025!B37</f>
        <v>25.549042495242542</v>
      </c>
      <c r="AM43" s="386">
        <f>'Op Cost_FY2025'!C37/Ridership_FY2025!C37</f>
        <v>35.929893985128473</v>
      </c>
      <c r="AN43" s="386">
        <f>'Op Cost_FY2025'!D37/Ridership_FY2025!D37</f>
        <v>36.47807448774924</v>
      </c>
      <c r="AO43" s="386">
        <f>'Op Cost_FY2025'!E37/Ridership_FY2025!E37</f>
        <v>38.515422946880371</v>
      </c>
      <c r="AP43" s="390">
        <f t="shared" si="14"/>
        <v>1.0843817382136312</v>
      </c>
      <c r="AQ43" s="388">
        <f t="shared" si="15"/>
        <v>8.6234084539007407E-3</v>
      </c>
      <c r="AR43" s="389">
        <f t="shared" si="16"/>
        <v>9.3626863891709509E-3</v>
      </c>
      <c r="AT43" s="391">
        <f t="shared" si="26"/>
        <v>0</v>
      </c>
      <c r="AU43" s="392">
        <f t="shared" si="17"/>
        <v>0</v>
      </c>
      <c r="AV43" s="392">
        <f t="shared" si="18"/>
        <v>0</v>
      </c>
      <c r="AW43" s="392">
        <f t="shared" si="19"/>
        <v>0</v>
      </c>
      <c r="AX43" s="393">
        <f t="shared" si="20"/>
        <v>0</v>
      </c>
      <c r="AY43" s="148">
        <f t="shared" si="27"/>
        <v>-1</v>
      </c>
      <c r="AZ43" s="394">
        <f t="shared" si="21"/>
        <v>0</v>
      </c>
      <c r="BA43" s="395">
        <f t="shared" si="21"/>
        <v>0</v>
      </c>
      <c r="BB43" s="395">
        <f t="shared" si="21"/>
        <v>0</v>
      </c>
      <c r="BC43" s="395">
        <f t="shared" si="21"/>
        <v>0</v>
      </c>
      <c r="BD43" s="395">
        <f t="shared" si="21"/>
        <v>0</v>
      </c>
      <c r="BE43" s="396">
        <f t="shared" si="28"/>
        <v>1143079.0668621352</v>
      </c>
      <c r="BG43" s="397">
        <f>'Op Cost_FY2025'!E37</f>
        <v>5000804</v>
      </c>
      <c r="BH43" s="398">
        <f t="shared" si="22"/>
        <v>0.22857905785992316</v>
      </c>
      <c r="BI43" s="399">
        <f t="shared" si="23"/>
        <v>1143079.0668621352</v>
      </c>
      <c r="BJ43" s="400">
        <f t="shared" si="24"/>
        <v>0</v>
      </c>
      <c r="BL43" s="548">
        <f t="shared" si="29"/>
        <v>0.19672949178007318</v>
      </c>
      <c r="BM43" s="548">
        <f t="shared" si="30"/>
        <v>0.12562474145787642</v>
      </c>
      <c r="BN43" s="549">
        <f t="shared" si="31"/>
        <v>0.28499120160380781</v>
      </c>
      <c r="BO43" s="554">
        <f t="shared" si="25"/>
        <v>1143079.0668621352</v>
      </c>
      <c r="BP43" s="562">
        <f t="shared" si="32"/>
        <v>0.22308415911139129</v>
      </c>
      <c r="BQ43" s="552">
        <f t="shared" si="33"/>
        <v>2.0860748400901466E-3</v>
      </c>
      <c r="BR43" s="402">
        <f t="shared" si="34"/>
        <v>2.0860748400901466E-3</v>
      </c>
      <c r="BS43" s="553">
        <f t="shared" si="35"/>
        <v>2.3541970354509193E-3</v>
      </c>
      <c r="BT43" s="556">
        <f t="shared" si="36"/>
        <v>1163312.4828527451</v>
      </c>
      <c r="BU43" s="540">
        <f t="shared" si="37"/>
        <v>1500241.2</v>
      </c>
      <c r="BV43" s="540">
        <f t="shared" si="38"/>
        <v>1163312.4828527451</v>
      </c>
      <c r="BW43" s="540">
        <f t="shared" si="39"/>
        <v>0</v>
      </c>
      <c r="BX43" s="541">
        <f t="shared" si="40"/>
        <v>2.0860748400901466E-3</v>
      </c>
      <c r="BY43" s="542">
        <f t="shared" si="41"/>
        <v>4.1993134840981007E-3</v>
      </c>
      <c r="BZ43" s="563">
        <f t="shared" si="42"/>
        <v>1167067.9874098042</v>
      </c>
      <c r="CA43" s="114"/>
    </row>
    <row r="44" spans="1:79">
      <c r="A44" s="403" t="s">
        <v>58</v>
      </c>
      <c r="B44" s="382" t="s">
        <v>95</v>
      </c>
      <c r="C44" s="179">
        <f>'Sizing - Reim Expen_FY2025'!B38</f>
        <v>705034</v>
      </c>
      <c r="D44" s="178">
        <f>Ridership_FY2025!$E38</f>
        <v>28422</v>
      </c>
      <c r="E44" s="178">
        <f>'Revenue Hours_FY2025'!$E38</f>
        <v>15538</v>
      </c>
      <c r="F44" s="178">
        <f>'Revenue Miles_FY2025'!$E38</f>
        <v>418259</v>
      </c>
      <c r="G44" s="404">
        <f t="shared" si="43"/>
        <v>2.1896680787776269E-3</v>
      </c>
      <c r="H44" s="384">
        <f t="shared" si="44"/>
        <v>2.1896680787776273E-3</v>
      </c>
      <c r="J44" s="385">
        <f>Ridership_FY2025!B38/'Revenue Hours_FY2025'!B38</f>
        <v>2.6155528221948887</v>
      </c>
      <c r="K44" s="386">
        <f>Ridership_FY2025!C38/'Revenue Hours_FY2025'!C38</f>
        <v>1.3983089137029627</v>
      </c>
      <c r="L44" s="386">
        <f>Ridership_FY2025!D38/'Revenue Hours_FY2025'!D38</f>
        <v>1.5445728965960179</v>
      </c>
      <c r="M44" s="386">
        <f>Ridership_FY2025!E38/'Revenue Hours_FY2025'!E38</f>
        <v>1.8291929463251384</v>
      </c>
      <c r="N44" s="387">
        <f t="shared" si="2"/>
        <v>0.9628227167983846</v>
      </c>
      <c r="O44" s="388">
        <f t="shared" si="3"/>
        <v>2.1082621684953744E-3</v>
      </c>
      <c r="P44" s="389">
        <f t="shared" si="4"/>
        <v>1.991573648869776E-3</v>
      </c>
      <c r="Q44" s="385">
        <f>Ridership_FY2025!B38/'Revenue Miles_FY2025'!B38</f>
        <v>9.9669556205390739E-2</v>
      </c>
      <c r="R44" s="386">
        <f>Ridership_FY2025!C38/'Revenue Miles_FY2025'!C38</f>
        <v>5.2832581392513109E-2</v>
      </c>
      <c r="S44" s="386">
        <f>Ridership_FY2025!D38/'Revenue Miles_FY2025'!D38</f>
        <v>5.8014121779238044E-2</v>
      </c>
      <c r="T44" s="386">
        <f>Ridership_FY2025!E38/'Revenue Miles_FY2025'!E38</f>
        <v>6.7953110393320887E-2</v>
      </c>
      <c r="U44" s="387">
        <f t="shared" si="5"/>
        <v>0.95607670597072658</v>
      </c>
      <c r="V44" s="388">
        <f t="shared" si="6"/>
        <v>2.0934906439269633E-3</v>
      </c>
      <c r="W44" s="389">
        <f t="shared" si="7"/>
        <v>1.9849414325490995E-3</v>
      </c>
      <c r="X44" s="385">
        <f>'Op Cost_FY2025'!B38/'Revenue Hours_FY2025'!B38</f>
        <v>27.952507858411916</v>
      </c>
      <c r="Y44" s="386">
        <f>'Op Cost_FY2025'!C38/'Revenue Hours_FY2025'!C38</f>
        <v>37.360937197444009</v>
      </c>
      <c r="Z44" s="386">
        <f>'Op Cost_FY2025'!D38/'Revenue Hours_FY2025'!D38</f>
        <v>36.826011560693644</v>
      </c>
      <c r="AA44" s="386">
        <f>'Op Cost_FY2025'!E38/'Revenue Hours_FY2025'!E38</f>
        <v>46.109795340455655</v>
      </c>
      <c r="AB44" s="387">
        <f t="shared" si="8"/>
        <v>1.1411124095025229</v>
      </c>
      <c r="AC44" s="388">
        <f t="shared" si="9"/>
        <v>1.9188890249052944E-3</v>
      </c>
      <c r="AD44" s="389">
        <f t="shared" si="10"/>
        <v>2.0469923412868725E-3</v>
      </c>
      <c r="AE44" s="385">
        <f>'Op Cost_FY2025'!B38/'Revenue Miles_FY2025'!B38</f>
        <v>1.0651721614773884</v>
      </c>
      <c r="AF44" s="386">
        <f>'Op Cost_FY2025'!C38/'Revenue Miles_FY2025'!C38</f>
        <v>1.4116156566272406</v>
      </c>
      <c r="AG44" s="386">
        <f>'Op Cost_FY2025'!D38/'Revenue Miles_FY2025'!D38</f>
        <v>1.3831841307289821</v>
      </c>
      <c r="AH44" s="386">
        <f>'Op Cost_FY2025'!E38/'Revenue Miles_FY2025'!E38</f>
        <v>1.712943415443541</v>
      </c>
      <c r="AI44" s="387">
        <f t="shared" si="11"/>
        <v>1.1332954104973407</v>
      </c>
      <c r="AJ44" s="388">
        <f t="shared" si="12"/>
        <v>1.9321247209645922E-3</v>
      </c>
      <c r="AK44" s="389">
        <f t="shared" si="13"/>
        <v>2.0562658139136624E-3</v>
      </c>
      <c r="AL44" s="385">
        <f>'Op Cost_FY2025'!B38/Ridership_FY2025!B38</f>
        <v>10.687036262932386</v>
      </c>
      <c r="AM44" s="386">
        <f>'Op Cost_FY2025'!C38/Ridership_FY2025!C38</f>
        <v>26.718657680945348</v>
      </c>
      <c r="AN44" s="386">
        <f>'Op Cost_FY2025'!D38/Ridership_FY2025!D38</f>
        <v>23.842197180755957</v>
      </c>
      <c r="AO44" s="386">
        <f>'Op Cost_FY2025'!E38/Ridership_FY2025!E38</f>
        <v>25.207726409119697</v>
      </c>
      <c r="AP44" s="390">
        <f t="shared" si="14"/>
        <v>1.1857221120855641</v>
      </c>
      <c r="AQ44" s="388">
        <f t="shared" si="15"/>
        <v>1.846695829030484E-3</v>
      </c>
      <c r="AR44" s="389">
        <f t="shared" si="16"/>
        <v>2.0050115909308981E-3</v>
      </c>
      <c r="AT44" s="391">
        <f t="shared" si="26"/>
        <v>0</v>
      </c>
      <c r="AU44" s="392">
        <f t="shared" si="17"/>
        <v>0</v>
      </c>
      <c r="AV44" s="392">
        <f t="shared" si="18"/>
        <v>0</v>
      </c>
      <c r="AW44" s="392">
        <f t="shared" si="19"/>
        <v>0</v>
      </c>
      <c r="AX44" s="393">
        <f t="shared" si="20"/>
        <v>0</v>
      </c>
      <c r="AY44" s="148">
        <f t="shared" si="27"/>
        <v>-1</v>
      </c>
      <c r="AZ44" s="394">
        <f t="shared" si="21"/>
        <v>0</v>
      </c>
      <c r="BA44" s="395">
        <f t="shared" si="21"/>
        <v>0</v>
      </c>
      <c r="BB44" s="395">
        <f t="shared" si="21"/>
        <v>0</v>
      </c>
      <c r="BC44" s="395">
        <f t="shared" si="21"/>
        <v>0</v>
      </c>
      <c r="BD44" s="395">
        <f t="shared" si="21"/>
        <v>0</v>
      </c>
      <c r="BE44" s="396">
        <f t="shared" si="28"/>
        <v>267666.12176916713</v>
      </c>
      <c r="BG44" s="397">
        <f>'Op Cost_FY2025'!E38</f>
        <v>716454</v>
      </c>
      <c r="BH44" s="398">
        <f t="shared" si="22"/>
        <v>0.37359847494628706</v>
      </c>
      <c r="BI44" s="399">
        <f t="shared" si="23"/>
        <v>214936.19999999998</v>
      </c>
      <c r="BJ44" s="400">
        <f t="shared" si="24"/>
        <v>52729.921769167151</v>
      </c>
      <c r="BL44" s="548">
        <f t="shared" si="29"/>
        <v>0.17087203661568437</v>
      </c>
      <c r="BM44" s="548">
        <f t="shared" si="30"/>
        <v>9.1589184765447973E-2</v>
      </c>
      <c r="BN44" s="549">
        <f t="shared" si="31"/>
        <v>0.43544413676035421</v>
      </c>
      <c r="BO44" s="554">
        <f t="shared" si="25"/>
        <v>0</v>
      </c>
      <c r="BP44" s="562">
        <f t="shared" si="32"/>
        <v>0.2833373737254602</v>
      </c>
      <c r="BQ44" s="552">
        <f t="shared" si="33"/>
        <v>6.2041480277132697E-4</v>
      </c>
      <c r="BR44" s="402">
        <f t="shared" si="34"/>
        <v>0</v>
      </c>
      <c r="BS44" s="553">
        <f t="shared" si="35"/>
        <v>0</v>
      </c>
      <c r="BT44" s="556">
        <f t="shared" si="36"/>
        <v>214936.19999999998</v>
      </c>
      <c r="BU44" s="540">
        <f t="shared" si="37"/>
        <v>214936.19999999998</v>
      </c>
      <c r="BV44" s="540">
        <f t="shared" si="38"/>
        <v>214936.19999999998</v>
      </c>
      <c r="BW44" s="540">
        <f t="shared" si="39"/>
        <v>0</v>
      </c>
      <c r="BX44" s="541">
        <f t="shared" si="40"/>
        <v>0</v>
      </c>
      <c r="BY44" s="542">
        <f t="shared" si="41"/>
        <v>0</v>
      </c>
      <c r="BZ44" s="563">
        <f t="shared" si="42"/>
        <v>214936.19999999998</v>
      </c>
      <c r="CA44" s="114"/>
    </row>
    <row r="45" spans="1:79">
      <c r="A45" s="403" t="s">
        <v>58</v>
      </c>
      <c r="B45" s="382" t="s">
        <v>96</v>
      </c>
      <c r="C45" s="179">
        <f>'Sizing - Reim Expen_FY2025'!B39</f>
        <v>8487532</v>
      </c>
      <c r="D45" s="178">
        <f>Ridership_FY2025!$E39</f>
        <v>222118</v>
      </c>
      <c r="E45" s="178">
        <f>'Revenue Hours_FY2025'!$E39</f>
        <v>86457</v>
      </c>
      <c r="F45" s="178">
        <f>'Revenue Miles_FY2025'!$E39</f>
        <v>1402006</v>
      </c>
      <c r="G45" s="404">
        <f t="shared" si="43"/>
        <v>1.3507504471797943E-2</v>
      </c>
      <c r="H45" s="384">
        <f t="shared" si="44"/>
        <v>1.3507504471797945E-2</v>
      </c>
      <c r="J45" s="385">
        <f>Ridership_FY2025!B39/'Revenue Hours_FY2025'!B39</f>
        <v>2.8967768637798126</v>
      </c>
      <c r="K45" s="386">
        <f>Ridership_FY2025!C39/'Revenue Hours_FY2025'!C39</f>
        <v>2.1946189886707304</v>
      </c>
      <c r="L45" s="386">
        <f>Ridership_FY2025!D39/'Revenue Hours_FY2025'!D39</f>
        <v>2.3000506032439341</v>
      </c>
      <c r="M45" s="386">
        <f>Ridership_FY2025!E39/'Revenue Hours_FY2025'!E39</f>
        <v>2.5691152827417096</v>
      </c>
      <c r="N45" s="387">
        <f t="shared" si="2"/>
        <v>1.074118069474993</v>
      </c>
      <c r="O45" s="388">
        <f t="shared" si="3"/>
        <v>1.4508654626672442E-2</v>
      </c>
      <c r="P45" s="389">
        <f t="shared" si="4"/>
        <v>1.3705626684775752E-2</v>
      </c>
      <c r="Q45" s="385">
        <f>Ridership_FY2025!B39/'Revenue Miles_FY2025'!B39</f>
        <v>0.17887553870187622</v>
      </c>
      <c r="R45" s="386">
        <f>Ridership_FY2025!C39/'Revenue Miles_FY2025'!C39</f>
        <v>0.13508021153120933</v>
      </c>
      <c r="S45" s="386">
        <f>Ridership_FY2025!D39/'Revenue Miles_FY2025'!D39</f>
        <v>0.14506873798932982</v>
      </c>
      <c r="T45" s="386">
        <f>Ridership_FY2025!E39/'Revenue Miles_FY2025'!E39</f>
        <v>0.15842870857899324</v>
      </c>
      <c r="U45" s="387">
        <f t="shared" si="5"/>
        <v>1.0715098961184502</v>
      </c>
      <c r="V45" s="388">
        <f t="shared" si="6"/>
        <v>1.4473424713395716E-2</v>
      </c>
      <c r="W45" s="389">
        <f t="shared" si="7"/>
        <v>1.3722965740419861E-2</v>
      </c>
      <c r="X45" s="385">
        <f>'Op Cost_FY2025'!B39/'Revenue Hours_FY2025'!B39</f>
        <v>82.421987686895335</v>
      </c>
      <c r="Y45" s="386">
        <f>'Op Cost_FY2025'!C39/'Revenue Hours_FY2025'!C39</f>
        <v>132.58479715436326</v>
      </c>
      <c r="Z45" s="386">
        <f>'Op Cost_FY2025'!D39/'Revenue Hours_FY2025'!D39</f>
        <v>102.20353157376088</v>
      </c>
      <c r="AA45" s="386">
        <f>'Op Cost_FY2025'!E39/'Revenue Hours_FY2025'!E39</f>
        <v>99.657968701204069</v>
      </c>
      <c r="AB45" s="387">
        <f t="shared" si="8"/>
        <v>1.0447289457201427</v>
      </c>
      <c r="AC45" s="388">
        <f t="shared" si="9"/>
        <v>1.2929195201428136E-2</v>
      </c>
      <c r="AD45" s="389">
        <f t="shared" si="10"/>
        <v>1.3792336718186499E-2</v>
      </c>
      <c r="AE45" s="385">
        <f>'Op Cost_FY2025'!B39/'Revenue Miles_FY2025'!B39</f>
        <v>5.0895454298593386</v>
      </c>
      <c r="AF45" s="386">
        <f>'Op Cost_FY2025'!C39/'Revenue Miles_FY2025'!C39</f>
        <v>8.1606796158642627</v>
      </c>
      <c r="AG45" s="386">
        <f>'Op Cost_FY2025'!D39/'Revenue Miles_FY2025'!D39</f>
        <v>6.4461787590877941</v>
      </c>
      <c r="AH45" s="386">
        <f>'Op Cost_FY2025'!E39/'Revenue Miles_FY2025'!E39</f>
        <v>6.1455721302191293</v>
      </c>
      <c r="AI45" s="387">
        <f t="shared" si="11"/>
        <v>1.0414417240324765</v>
      </c>
      <c r="AJ45" s="388">
        <f t="shared" si="12"/>
        <v>1.2970005099754121E-2</v>
      </c>
      <c r="AK45" s="389">
        <f t="shared" si="13"/>
        <v>1.3803341887575284E-2</v>
      </c>
      <c r="AL45" s="385">
        <f>'Op Cost_FY2025'!B39/Ridership_FY2025!B39</f>
        <v>28.452998474776663</v>
      </c>
      <c r="AM45" s="386">
        <f>'Op Cost_FY2025'!C39/Ridership_FY2025!C39</f>
        <v>60.413583332143318</v>
      </c>
      <c r="AN45" s="386">
        <f>'Op Cost_FY2025'!D39/Ridership_FY2025!D39</f>
        <v>44.435340435386756</v>
      </c>
      <c r="AO45" s="386">
        <f>'Op Cost_FY2025'!E39/Ridership_FY2025!E39</f>
        <v>38.790773372711804</v>
      </c>
      <c r="AP45" s="390">
        <f t="shared" si="14"/>
        <v>0.98675734644543533</v>
      </c>
      <c r="AQ45" s="388">
        <f t="shared" si="15"/>
        <v>1.3688780246182709E-2</v>
      </c>
      <c r="AR45" s="389">
        <f t="shared" si="16"/>
        <v>1.4862308468910925E-2</v>
      </c>
      <c r="AT45" s="391">
        <f t="shared" si="26"/>
        <v>0</v>
      </c>
      <c r="AU45" s="392">
        <f t="shared" si="17"/>
        <v>0</v>
      </c>
      <c r="AV45" s="392">
        <f t="shared" si="18"/>
        <v>0</v>
      </c>
      <c r="AW45" s="392">
        <f t="shared" si="19"/>
        <v>0</v>
      </c>
      <c r="AX45" s="393">
        <f t="shared" si="20"/>
        <v>0</v>
      </c>
      <c r="AY45" s="148">
        <f t="shared" si="27"/>
        <v>-1</v>
      </c>
      <c r="AZ45" s="394">
        <f t="shared" si="21"/>
        <v>0</v>
      </c>
      <c r="BA45" s="395">
        <f t="shared" si="21"/>
        <v>0</v>
      </c>
      <c r="BB45" s="395">
        <f t="shared" si="21"/>
        <v>0</v>
      </c>
      <c r="BC45" s="395">
        <f t="shared" si="21"/>
        <v>0</v>
      </c>
      <c r="BD45" s="395">
        <f t="shared" si="21"/>
        <v>0</v>
      </c>
      <c r="BE45" s="396">
        <f t="shared" si="28"/>
        <v>1651164.1064631934</v>
      </c>
      <c r="BG45" s="397">
        <f>'Op Cost_FY2025'!E39</f>
        <v>8616129</v>
      </c>
      <c r="BH45" s="398">
        <f t="shared" si="22"/>
        <v>0.19163641891424715</v>
      </c>
      <c r="BI45" s="399">
        <f t="shared" si="23"/>
        <v>1651164.1064631934</v>
      </c>
      <c r="BJ45" s="400">
        <f t="shared" si="24"/>
        <v>0</v>
      </c>
      <c r="BL45" s="548">
        <f t="shared" si="29"/>
        <v>0.2399910635695866</v>
      </c>
      <c r="BM45" s="548">
        <f t="shared" si="30"/>
        <v>0.21353483568603426</v>
      </c>
      <c r="BN45" s="549">
        <f t="shared" si="31"/>
        <v>0.28296823475120508</v>
      </c>
      <c r="BO45" s="554">
        <f t="shared" si="25"/>
        <v>1651164.1064631934</v>
      </c>
      <c r="BP45" s="562">
        <f t="shared" si="32"/>
        <v>0.25486559218950777</v>
      </c>
      <c r="BQ45" s="552">
        <f t="shared" si="33"/>
        <v>3.4425981262072077E-3</v>
      </c>
      <c r="BR45" s="402">
        <f t="shared" si="34"/>
        <v>3.4425981262072077E-3</v>
      </c>
      <c r="BS45" s="553">
        <f t="shared" si="35"/>
        <v>3.8850736067626759E-3</v>
      </c>
      <c r="BT45" s="556">
        <f t="shared" si="36"/>
        <v>1684554.8164403269</v>
      </c>
      <c r="BU45" s="540">
        <f t="shared" si="37"/>
        <v>2584838.6999999997</v>
      </c>
      <c r="BV45" s="540">
        <f t="shared" si="38"/>
        <v>1684554.8164403269</v>
      </c>
      <c r="BW45" s="540">
        <f t="shared" si="39"/>
        <v>0</v>
      </c>
      <c r="BX45" s="541">
        <f t="shared" si="40"/>
        <v>3.4425981262072077E-3</v>
      </c>
      <c r="BY45" s="542">
        <f t="shared" si="41"/>
        <v>6.9300240115489171E-3</v>
      </c>
      <c r="BZ45" s="563">
        <f t="shared" si="42"/>
        <v>1690752.4334685521</v>
      </c>
      <c r="CA45" s="114"/>
    </row>
    <row r="46" spans="1:79" ht="16.5" customHeight="1">
      <c r="A46" s="403" t="s">
        <v>58</v>
      </c>
      <c r="B46" s="382" t="s">
        <v>97</v>
      </c>
      <c r="C46" s="179">
        <f>'Sizing - Reim Expen_FY2025'!B40</f>
        <v>170603</v>
      </c>
      <c r="D46" s="178">
        <f>Ridership_FY2025!$E40</f>
        <v>11675</v>
      </c>
      <c r="E46" s="178">
        <f>'Revenue Hours_FY2025'!$E40</f>
        <v>5322</v>
      </c>
      <c r="F46" s="178">
        <f>'Revenue Miles_FY2025'!$E40</f>
        <v>60529</v>
      </c>
      <c r="G46" s="383">
        <f t="shared" si="43"/>
        <v>5.2132852965308478E-4</v>
      </c>
      <c r="H46" s="384">
        <f t="shared" si="44"/>
        <v>5.2132852965308489E-4</v>
      </c>
      <c r="J46" s="385">
        <f>Ridership_FY2025!B40/'Revenue Hours_FY2025'!B40</f>
        <v>2.6243417203042716</v>
      </c>
      <c r="K46" s="386">
        <f>Ridership_FY2025!C40/'Revenue Hours_FY2025'!C40</f>
        <v>2.06749490079733</v>
      </c>
      <c r="L46" s="386">
        <f>Ridership_FY2025!D40/'Revenue Hours_FY2025'!D40</f>
        <v>2.1966604823747682</v>
      </c>
      <c r="M46" s="386">
        <f>Ridership_FY2025!E40/'Revenue Hours_FY2025'!E40</f>
        <v>2.1937241638481773</v>
      </c>
      <c r="N46" s="387">
        <f t="shared" si="2"/>
        <v>1.0644651232169628</v>
      </c>
      <c r="O46" s="388">
        <f t="shared" si="3"/>
        <v>5.5493603755368912E-4</v>
      </c>
      <c r="P46" s="389">
        <f t="shared" si="4"/>
        <v>5.2422132584625022E-4</v>
      </c>
      <c r="Q46" s="385">
        <f>Ridership_FY2025!B40/'Revenue Miles_FY2025'!B40</f>
        <v>0.22349384582163678</v>
      </c>
      <c r="R46" s="386">
        <f>Ridership_FY2025!C40/'Revenue Miles_FY2025'!C40</f>
        <v>0.21433239783168659</v>
      </c>
      <c r="S46" s="386">
        <f>Ridership_FY2025!D40/'Revenue Miles_FY2025'!D40</f>
        <v>0.21260549470281917</v>
      </c>
      <c r="T46" s="386">
        <f>Ridership_FY2025!E40/'Revenue Miles_FY2025'!E40</f>
        <v>0.19288275041715541</v>
      </c>
      <c r="U46" s="387">
        <f t="shared" si="5"/>
        <v>1.1286096730909378</v>
      </c>
      <c r="V46" s="388">
        <f t="shared" si="6"/>
        <v>5.8837642142474747E-4</v>
      </c>
      <c r="W46" s="389">
        <f t="shared" si="7"/>
        <v>5.5786862014831897E-4</v>
      </c>
      <c r="X46" s="385">
        <f>'Op Cost_FY2025'!B40/'Revenue Hours_FY2025'!B40</f>
        <v>28.064170079968793</v>
      </c>
      <c r="Y46" s="386">
        <f>'Op Cost_FY2025'!C40/'Revenue Hours_FY2025'!C40</f>
        <v>27.145188206934915</v>
      </c>
      <c r="Z46" s="386">
        <f>'Op Cost_FY2025'!D40/'Revenue Hours_FY2025'!D40</f>
        <v>30.05751391465677</v>
      </c>
      <c r="AA46" s="386">
        <f>'Op Cost_FY2025'!E40/'Revenue Hours_FY2025'!E40</f>
        <v>32.056181886508831</v>
      </c>
      <c r="AB46" s="387">
        <f t="shared" si="8"/>
        <v>1.0142681961187796</v>
      </c>
      <c r="AC46" s="388">
        <f t="shared" si="9"/>
        <v>5.1399475173135841E-4</v>
      </c>
      <c r="AD46" s="389">
        <f t="shared" si="10"/>
        <v>5.4830858199716168E-4</v>
      </c>
      <c r="AE46" s="385">
        <f>'Op Cost_FY2025'!B40/'Revenue Miles_FY2025'!B40</f>
        <v>2.3899971762204539</v>
      </c>
      <c r="AF46" s="386">
        <f>'Op Cost_FY2025'!C40/'Revenue Miles_FY2025'!C40</f>
        <v>2.8140786590288722</v>
      </c>
      <c r="AG46" s="386">
        <f>'Op Cost_FY2025'!D40/'Revenue Miles_FY2025'!D40</f>
        <v>2.9091398814868019</v>
      </c>
      <c r="AH46" s="386">
        <f>'Op Cost_FY2025'!E40/'Revenue Miles_FY2025'!E40</f>
        <v>2.8185332650465065</v>
      </c>
      <c r="AI46" s="387">
        <f t="shared" si="11"/>
        <v>1.0155039326167026</v>
      </c>
      <c r="AJ46" s="388">
        <f t="shared" si="12"/>
        <v>5.1336928682270107E-4</v>
      </c>
      <c r="AK46" s="389">
        <f t="shared" si="13"/>
        <v>5.463538160620135E-4</v>
      </c>
      <c r="AL46" s="385">
        <f>'Op Cost_FY2025'!B40/Ridership_FY2025!B40</f>
        <v>10.693794128576737</v>
      </c>
      <c r="AM46" s="386">
        <f>'Op Cost_FY2025'!C40/Ridership_FY2025!C40</f>
        <v>13.129506726457398</v>
      </c>
      <c r="AN46" s="386">
        <f>'Op Cost_FY2025'!D40/Ridership_FY2025!D40</f>
        <v>13.683277027027026</v>
      </c>
      <c r="AO46" s="386">
        <f>'Op Cost_FY2025'!E40/Ridership_FY2025!E40</f>
        <v>14.612676659528908</v>
      </c>
      <c r="AP46" s="390">
        <f t="shared" si="14"/>
        <v>1.0760456886888583</v>
      </c>
      <c r="AQ46" s="388">
        <f t="shared" si="15"/>
        <v>4.8448549641819951E-4</v>
      </c>
      <c r="AR46" s="389">
        <f t="shared" si="16"/>
        <v>5.2602005196837696E-4</v>
      </c>
      <c r="AT46" s="391">
        <f t="shared" si="26"/>
        <v>0</v>
      </c>
      <c r="AU46" s="392">
        <f t="shared" si="17"/>
        <v>0</v>
      </c>
      <c r="AV46" s="392">
        <f t="shared" si="18"/>
        <v>0</v>
      </c>
      <c r="AW46" s="392">
        <f t="shared" si="19"/>
        <v>0</v>
      </c>
      <c r="AX46" s="393">
        <f t="shared" si="20"/>
        <v>0</v>
      </c>
      <c r="AY46" s="148">
        <f t="shared" si="27"/>
        <v>-1</v>
      </c>
      <c r="AZ46" s="394">
        <f t="shared" si="21"/>
        <v>0</v>
      </c>
      <c r="BA46" s="395">
        <f t="shared" si="21"/>
        <v>0</v>
      </c>
      <c r="BB46" s="395">
        <f t="shared" si="21"/>
        <v>0</v>
      </c>
      <c r="BC46" s="395">
        <f t="shared" si="21"/>
        <v>0</v>
      </c>
      <c r="BD46" s="395">
        <f t="shared" si="21"/>
        <v>0</v>
      </c>
      <c r="BE46" s="396">
        <f t="shared" si="28"/>
        <v>63727.460363655759</v>
      </c>
      <c r="BG46" s="397">
        <f>'Op Cost_FY2025'!E40</f>
        <v>170603</v>
      </c>
      <c r="BH46" s="398">
        <f t="shared" si="22"/>
        <v>0.37354243690706351</v>
      </c>
      <c r="BI46" s="399">
        <f t="shared" si="23"/>
        <v>51180.9</v>
      </c>
      <c r="BJ46" s="400">
        <f t="shared" si="24"/>
        <v>12546.560363655757</v>
      </c>
      <c r="BL46" s="548">
        <f t="shared" si="29"/>
        <v>0.20492431725305185</v>
      </c>
      <c r="BM46" s="548">
        <f t="shared" si="30"/>
        <v>0.25997299849516559</v>
      </c>
      <c r="BN46" s="549">
        <f t="shared" si="31"/>
        <v>0.75116673841903636</v>
      </c>
      <c r="BO46" s="554">
        <f t="shared" si="25"/>
        <v>0</v>
      </c>
      <c r="BP46" s="562">
        <f t="shared" si="32"/>
        <v>0.49180769814657255</v>
      </c>
      <c r="BQ46" s="552">
        <f t="shared" si="33"/>
        <v>2.5639338414682085E-4</v>
      </c>
      <c r="BR46" s="402">
        <f t="shared" si="34"/>
        <v>0</v>
      </c>
      <c r="BS46" s="553">
        <f t="shared" si="35"/>
        <v>0</v>
      </c>
      <c r="BT46" s="556">
        <f t="shared" si="36"/>
        <v>51180.9</v>
      </c>
      <c r="BU46" s="540">
        <f t="shared" si="37"/>
        <v>51180.9</v>
      </c>
      <c r="BV46" s="540">
        <f t="shared" si="38"/>
        <v>51180.9</v>
      </c>
      <c r="BW46" s="540">
        <f t="shared" si="39"/>
        <v>0</v>
      </c>
      <c r="BX46" s="541">
        <f t="shared" si="40"/>
        <v>0</v>
      </c>
      <c r="BY46" s="542">
        <f t="shared" si="41"/>
        <v>0</v>
      </c>
      <c r="BZ46" s="563">
        <f t="shared" si="42"/>
        <v>51180.9</v>
      </c>
      <c r="CA46" s="114"/>
    </row>
    <row r="47" spans="1:79">
      <c r="A47" s="403" t="s">
        <v>58</v>
      </c>
      <c r="B47" s="382" t="s">
        <v>98</v>
      </c>
      <c r="C47" s="179">
        <f>'Sizing - Reim Expen_FY2025'!B41</f>
        <v>1199851</v>
      </c>
      <c r="D47" s="178">
        <f>Ridership_FY2025!$E41</f>
        <v>61663</v>
      </c>
      <c r="E47" s="178">
        <f>'Revenue Hours_FY2025'!$E41</f>
        <v>18247</v>
      </c>
      <c r="F47" s="178">
        <f>'Revenue Miles_FY2025'!$E41</f>
        <v>313578</v>
      </c>
      <c r="G47" s="404">
        <f t="shared" si="43"/>
        <v>2.6079262501788238E-3</v>
      </c>
      <c r="H47" s="384">
        <f t="shared" si="44"/>
        <v>2.6079262501788243E-3</v>
      </c>
      <c r="J47" s="385">
        <f>Ridership_FY2025!B41/'Revenue Hours_FY2025'!B41</f>
        <v>2.3018086155869781</v>
      </c>
      <c r="K47" s="386">
        <f>Ridership_FY2025!C41/'Revenue Hours_FY2025'!C41</f>
        <v>1.8714498597475455</v>
      </c>
      <c r="L47" s="386">
        <f>Ridership_FY2025!D41/'Revenue Hours_FY2025'!D41</f>
        <v>2.7255388346838654</v>
      </c>
      <c r="M47" s="386">
        <f>Ridership_FY2025!E41/'Revenue Hours_FY2025'!E41</f>
        <v>3.379350030141941</v>
      </c>
      <c r="N47" s="387">
        <f t="shared" si="2"/>
        <v>1.2499873812155375</v>
      </c>
      <c r="O47" s="388">
        <f t="shared" si="3"/>
        <v>3.2598749038642853E-3</v>
      </c>
      <c r="P47" s="389">
        <f t="shared" si="4"/>
        <v>3.0794466903427951E-3</v>
      </c>
      <c r="Q47" s="385">
        <f>Ridership_FY2025!B41/'Revenue Miles_FY2025'!B41</f>
        <v>0.15794010138539991</v>
      </c>
      <c r="R47" s="386">
        <f>Ridership_FY2025!C41/'Revenue Miles_FY2025'!C41</f>
        <v>0.12054951539089166</v>
      </c>
      <c r="S47" s="386">
        <f>Ridership_FY2025!D41/'Revenue Miles_FY2025'!D41</f>
        <v>0.1590504069225078</v>
      </c>
      <c r="T47" s="386">
        <f>Ridership_FY2025!E41/'Revenue Miles_FY2025'!E41</f>
        <v>0.19664325941233121</v>
      </c>
      <c r="U47" s="387">
        <f t="shared" si="5"/>
        <v>1.1819101496945379</v>
      </c>
      <c r="V47" s="388">
        <f t="shared" si="6"/>
        <v>3.0823345047411689E-3</v>
      </c>
      <c r="W47" s="389">
        <f t="shared" si="7"/>
        <v>2.9225129260476912E-3</v>
      </c>
      <c r="X47" s="385">
        <f>'Op Cost_FY2025'!B41/'Revenue Hours_FY2025'!B41</f>
        <v>30.822514523731229</v>
      </c>
      <c r="Y47" s="386">
        <f>'Op Cost_FY2025'!C41/'Revenue Hours_FY2025'!C41</f>
        <v>53.352691093969142</v>
      </c>
      <c r="Z47" s="386">
        <f>'Op Cost_FY2025'!D41/'Revenue Hours_FY2025'!D41</f>
        <v>79.509949837384923</v>
      </c>
      <c r="AA47" s="386">
        <f>'Op Cost_FY2025'!E41/'Revenue Hours_FY2025'!E41</f>
        <v>73.872855811914292</v>
      </c>
      <c r="AB47" s="387">
        <f t="shared" si="8"/>
        <v>1.3009553130389218</v>
      </c>
      <c r="AC47" s="388">
        <f t="shared" si="9"/>
        <v>2.0046240051758034E-3</v>
      </c>
      <c r="AD47" s="389">
        <f t="shared" si="10"/>
        <v>2.1384509122184432E-3</v>
      </c>
      <c r="AE47" s="385">
        <f>'Op Cost_FY2025'!B41/'Revenue Miles_FY2025'!B41</f>
        <v>2.1149069631011295</v>
      </c>
      <c r="AF47" s="386">
        <f>'Op Cost_FY2025'!C41/'Revenue Miles_FY2025'!C41</f>
        <v>3.4367156686984583</v>
      </c>
      <c r="AG47" s="386">
        <f>'Op Cost_FY2025'!D41/'Revenue Miles_FY2025'!D41</f>
        <v>4.639849454756007</v>
      </c>
      <c r="AH47" s="386">
        <f>'Op Cost_FY2025'!E41/'Revenue Miles_FY2025'!E41</f>
        <v>4.2986370217298404</v>
      </c>
      <c r="AI47" s="387">
        <f t="shared" si="11"/>
        <v>1.2285075855666157</v>
      </c>
      <c r="AJ47" s="388">
        <f t="shared" si="12"/>
        <v>2.1228409826838713E-3</v>
      </c>
      <c r="AK47" s="389">
        <f t="shared" si="13"/>
        <v>2.2592358007243389E-3</v>
      </c>
      <c r="AL47" s="385">
        <f>'Op Cost_FY2025'!B41/Ridership_FY2025!B41</f>
        <v>13.390563539910664</v>
      </c>
      <c r="AM47" s="386">
        <f>'Op Cost_FY2025'!C41/Ridership_FY2025!C41</f>
        <v>28.508747277453804</v>
      </c>
      <c r="AN47" s="386">
        <f>'Op Cost_FY2025'!D41/Ridership_FY2025!D41</f>
        <v>29.17219480624545</v>
      </c>
      <c r="AO47" s="386">
        <f>'Op Cost_FY2025'!E41/Ridership_FY2025!E41</f>
        <v>21.860078166809917</v>
      </c>
      <c r="AP47" s="390">
        <f t="shared" si="14"/>
        <v>1.0579537896315043</v>
      </c>
      <c r="AQ47" s="388">
        <f t="shared" si="15"/>
        <v>2.4650663155024858E-3</v>
      </c>
      <c r="AR47" s="389">
        <f t="shared" si="16"/>
        <v>2.6763944864653826E-3</v>
      </c>
      <c r="AT47" s="391">
        <f t="shared" si="26"/>
        <v>0</v>
      </c>
      <c r="AU47" s="392">
        <f t="shared" si="17"/>
        <v>0</v>
      </c>
      <c r="AV47" s="392">
        <f t="shared" si="18"/>
        <v>0</v>
      </c>
      <c r="AW47" s="392">
        <f t="shared" si="19"/>
        <v>0</v>
      </c>
      <c r="AX47" s="393">
        <f t="shared" si="20"/>
        <v>0</v>
      </c>
      <c r="AY47" s="148">
        <f t="shared" si="27"/>
        <v>-1</v>
      </c>
      <c r="AZ47" s="394">
        <f t="shared" si="21"/>
        <v>0</v>
      </c>
      <c r="BA47" s="395">
        <f t="shared" si="21"/>
        <v>0</v>
      </c>
      <c r="BB47" s="395">
        <f t="shared" si="21"/>
        <v>0</v>
      </c>
      <c r="BC47" s="395">
        <f t="shared" si="21"/>
        <v>0</v>
      </c>
      <c r="BD47" s="395">
        <f t="shared" si="21"/>
        <v>0</v>
      </c>
      <c r="BE47" s="396">
        <f t="shared" si="28"/>
        <v>318794.20995855134</v>
      </c>
      <c r="BG47" s="397">
        <f>'Op Cost_FY2025'!E41</f>
        <v>1347958</v>
      </c>
      <c r="BH47" s="398">
        <f t="shared" si="22"/>
        <v>0.23650158978139627</v>
      </c>
      <c r="BI47" s="399">
        <f t="shared" si="23"/>
        <v>318794.20995855134</v>
      </c>
      <c r="BJ47" s="400">
        <f t="shared" si="24"/>
        <v>0</v>
      </c>
      <c r="BL47" s="548">
        <f t="shared" si="29"/>
        <v>0.31567824665391458</v>
      </c>
      <c r="BM47" s="548">
        <f t="shared" si="30"/>
        <v>0.26504152223422228</v>
      </c>
      <c r="BN47" s="549">
        <f t="shared" si="31"/>
        <v>0.50212796963260542</v>
      </c>
      <c r="BO47" s="554">
        <f t="shared" si="25"/>
        <v>318794.20995855134</v>
      </c>
      <c r="BP47" s="562">
        <f>BL47*$BO$6+BM47*$BP$6+BN47*$BQ$6</f>
        <v>0.39624392703833694</v>
      </c>
      <c r="BQ47" s="552">
        <f t="shared" si="33"/>
        <v>1.0333749387972217E-3</v>
      </c>
      <c r="BR47" s="402">
        <f t="shared" si="34"/>
        <v>1.0333749387972217E-3</v>
      </c>
      <c r="BS47" s="553">
        <f t="shared" si="35"/>
        <v>1.1661941224124855E-3</v>
      </c>
      <c r="BT47" s="556">
        <f t="shared" si="36"/>
        <v>328817.19887972146</v>
      </c>
      <c r="BU47" s="540">
        <f t="shared" si="37"/>
        <v>404387.39999999997</v>
      </c>
      <c r="BV47" s="540">
        <f t="shared" si="38"/>
        <v>328817.19887972146</v>
      </c>
      <c r="BW47" s="540">
        <f t="shared" si="39"/>
        <v>0</v>
      </c>
      <c r="BX47" s="541">
        <f t="shared" si="40"/>
        <v>1.0333749387972217E-3</v>
      </c>
      <c r="BY47" s="542">
        <f t="shared" si="41"/>
        <v>2.080205959644621E-3</v>
      </c>
      <c r="BZ47" s="563">
        <f t="shared" si="42"/>
        <v>330677.55605254276</v>
      </c>
      <c r="CA47" s="114"/>
    </row>
    <row r="48" spans="1:79">
      <c r="A48" s="403" t="s">
        <v>58</v>
      </c>
      <c r="B48" s="382" t="s">
        <v>99</v>
      </c>
      <c r="C48" s="179">
        <f>'Sizing - Reim Expen_FY2025'!B42</f>
        <v>4543756</v>
      </c>
      <c r="D48" s="178">
        <f>Ridership_FY2025!$E42</f>
        <v>187266</v>
      </c>
      <c r="E48" s="178">
        <f>'Revenue Hours_FY2025'!$E42</f>
        <v>63759</v>
      </c>
      <c r="F48" s="178">
        <f>'Revenue Miles_FY2025'!$E42</f>
        <v>994681</v>
      </c>
      <c r="G48" s="404">
        <f t="shared" si="43"/>
        <v>8.8990972899338511E-3</v>
      </c>
      <c r="H48" s="384">
        <f t="shared" si="44"/>
        <v>8.8990972899338529E-3</v>
      </c>
      <c r="J48" s="385">
        <f>Ridership_FY2025!B42/'Revenue Hours_FY2025'!B42</f>
        <v>4.6066913646259025</v>
      </c>
      <c r="K48" s="386">
        <f>Ridership_FY2025!C42/'Revenue Hours_FY2025'!C42</f>
        <v>2.6052602436323364</v>
      </c>
      <c r="L48" s="386">
        <f>Ridership_FY2025!D42/'Revenue Hours_FY2025'!D42</f>
        <v>2.7993357457988401</v>
      </c>
      <c r="M48" s="386">
        <f>Ridership_FY2025!E42/'Revenue Hours_FY2025'!E42</f>
        <v>2.9370912341787041</v>
      </c>
      <c r="N48" s="387">
        <f t="shared" si="2"/>
        <v>0.93744466278837724</v>
      </c>
      <c r="O48" s="388">
        <f t="shared" si="3"/>
        <v>8.3424112580830021E-3</v>
      </c>
      <c r="P48" s="389">
        <f t="shared" si="4"/>
        <v>7.8806737975524767E-3</v>
      </c>
      <c r="Q48" s="385">
        <f>Ridership_FY2025!B42/'Revenue Miles_FY2025'!B42</f>
        <v>0.25866990351642838</v>
      </c>
      <c r="R48" s="386">
        <f>Ridership_FY2025!C42/'Revenue Miles_FY2025'!C42</f>
        <v>0.16890249812434263</v>
      </c>
      <c r="S48" s="386">
        <f>Ridership_FY2025!D42/'Revenue Miles_FY2025'!D42</f>
        <v>0.1810610173694088</v>
      </c>
      <c r="T48" s="386">
        <f>Ridership_FY2025!E42/'Revenue Miles_FY2025'!E42</f>
        <v>0.18826739427012279</v>
      </c>
      <c r="U48" s="387">
        <f t="shared" si="5"/>
        <v>0.99109648571081632</v>
      </c>
      <c r="V48" s="388">
        <f t="shared" si="6"/>
        <v>8.8198640500520911E-3</v>
      </c>
      <c r="W48" s="389">
        <f t="shared" si="7"/>
        <v>8.3625468464283582E-3</v>
      </c>
      <c r="X48" s="385">
        <f>'Op Cost_FY2025'!B42/'Revenue Hours_FY2025'!B42</f>
        <v>60.089370965893899</v>
      </c>
      <c r="Y48" s="386">
        <f>'Op Cost_FY2025'!C42/'Revenue Hours_FY2025'!C42</f>
        <v>61.375230712440015</v>
      </c>
      <c r="Z48" s="386">
        <f>'Op Cost_FY2025'!D42/'Revenue Hours_FY2025'!D42</f>
        <v>66.464250896412693</v>
      </c>
      <c r="AA48" s="386">
        <f>'Op Cost_FY2025'!E42/'Revenue Hours_FY2025'!E42</f>
        <v>73.070531219122003</v>
      </c>
      <c r="AB48" s="387">
        <f t="shared" si="8"/>
        <v>1.0327254943983701</v>
      </c>
      <c r="AC48" s="388">
        <f t="shared" si="9"/>
        <v>8.617098481836314E-3</v>
      </c>
      <c r="AD48" s="389">
        <f t="shared" si="10"/>
        <v>9.1923682753379862E-3</v>
      </c>
      <c r="AE48" s="385">
        <f>'Op Cost_FY2025'!B42/'Revenue Miles_FY2025'!B42</f>
        <v>3.3740727476265127</v>
      </c>
      <c r="AF48" s="386">
        <f>'Op Cost_FY2025'!C42/'Revenue Miles_FY2025'!C42</f>
        <v>3.9790381078535897</v>
      </c>
      <c r="AG48" s="386">
        <f>'Op Cost_FY2025'!D42/'Revenue Miles_FY2025'!D42</f>
        <v>4.2989073047277451</v>
      </c>
      <c r="AH48" s="386">
        <f>'Op Cost_FY2025'!E42/'Revenue Miles_FY2025'!E42</f>
        <v>4.6838172238134641</v>
      </c>
      <c r="AI48" s="387">
        <f t="shared" si="11"/>
        <v>1.0750496667822353</v>
      </c>
      <c r="AJ48" s="388">
        <f t="shared" si="12"/>
        <v>8.2778475868654691E-3</v>
      </c>
      <c r="AK48" s="389">
        <f t="shared" si="13"/>
        <v>8.8097082041170699E-3</v>
      </c>
      <c r="AL48" s="385">
        <f>'Op Cost_FY2025'!B42/Ridership_FY2025!B42</f>
        <v>13.043932447333294</v>
      </c>
      <c r="AM48" s="386">
        <f>'Op Cost_FY2025'!C42/Ridership_FY2025!C42</f>
        <v>23.558195716704567</v>
      </c>
      <c r="AN48" s="386">
        <f>'Op Cost_FY2025'!D42/Ridership_FY2025!D42</f>
        <v>23.742865069386646</v>
      </c>
      <c r="AO48" s="386">
        <f>'Op Cost_FY2025'!E42/Ridership_FY2025!E42</f>
        <v>24.878536413443978</v>
      </c>
      <c r="AP48" s="390">
        <f t="shared" si="14"/>
        <v>1.133836263732076</v>
      </c>
      <c r="AQ48" s="388">
        <f t="shared" si="15"/>
        <v>7.8486617288479124E-3</v>
      </c>
      <c r="AR48" s="389">
        <f t="shared" si="16"/>
        <v>8.5215212447290554E-3</v>
      </c>
      <c r="AT48" s="391">
        <f t="shared" si="26"/>
        <v>0</v>
      </c>
      <c r="AU48" s="392">
        <f t="shared" si="17"/>
        <v>0</v>
      </c>
      <c r="AV48" s="392">
        <f t="shared" si="18"/>
        <v>0</v>
      </c>
      <c r="AW48" s="392">
        <f t="shared" si="19"/>
        <v>0</v>
      </c>
      <c r="AX48" s="393">
        <f t="shared" si="20"/>
        <v>0</v>
      </c>
      <c r="AY48" s="148">
        <f t="shared" si="27"/>
        <v>-1</v>
      </c>
      <c r="AZ48" s="394">
        <f t="shared" si="21"/>
        <v>0</v>
      </c>
      <c r="BA48" s="395">
        <f t="shared" si="21"/>
        <v>0</v>
      </c>
      <c r="BB48" s="395">
        <f t="shared" si="21"/>
        <v>0</v>
      </c>
      <c r="BC48" s="395">
        <f t="shared" si="21"/>
        <v>0</v>
      </c>
      <c r="BD48" s="395">
        <f t="shared" si="21"/>
        <v>0</v>
      </c>
      <c r="BE48" s="396">
        <f>$AZ$4*H48</f>
        <v>1087830.1062747529</v>
      </c>
      <c r="BG48" s="397">
        <f>'Op Cost_FY2025'!E42</f>
        <v>4658904</v>
      </c>
      <c r="BH48" s="398">
        <f t="shared" si="22"/>
        <v>0.23349485335494205</v>
      </c>
      <c r="BI48" s="399">
        <f t="shared" si="23"/>
        <v>1087830.1062747529</v>
      </c>
      <c r="BJ48" s="400">
        <f t="shared" si="24"/>
        <v>0</v>
      </c>
      <c r="BL48" s="548">
        <f t="shared" si="29"/>
        <v>0.27436513021682213</v>
      </c>
      <c r="BM48" s="548">
        <f t="shared" si="30"/>
        <v>0.25375228682410034</v>
      </c>
      <c r="BN48" s="549">
        <f t="shared" si="31"/>
        <v>0.44120588460255034</v>
      </c>
      <c r="BO48" s="554">
        <f t="shared" si="25"/>
        <v>1087830.1062747529</v>
      </c>
      <c r="BP48" s="562">
        <f t="shared" si="32"/>
        <v>0.35263229656150574</v>
      </c>
      <c r="BQ48" s="552">
        <f t="shared" si="33"/>
        <v>3.1381091146736465E-3</v>
      </c>
      <c r="BR48" s="402">
        <f t="shared" si="34"/>
        <v>3.1381091146736465E-3</v>
      </c>
      <c r="BS48" s="553">
        <f t="shared" si="35"/>
        <v>3.5414487690992708E-3</v>
      </c>
      <c r="BT48" s="556">
        <f t="shared" si="36"/>
        <v>1118267.4932375201</v>
      </c>
      <c r="BU48" s="540">
        <f t="shared" si="37"/>
        <v>1397671.2</v>
      </c>
      <c r="BV48" s="540">
        <f t="shared" si="38"/>
        <v>1118267.4932375201</v>
      </c>
      <c r="BW48" s="540">
        <f t="shared" si="39"/>
        <v>0</v>
      </c>
      <c r="BX48" s="541">
        <f t="shared" si="40"/>
        <v>3.1381091146736465E-3</v>
      </c>
      <c r="BY48" s="542">
        <f t="shared" si="41"/>
        <v>6.3170810876807919E-3</v>
      </c>
      <c r="BZ48" s="563">
        <f t="shared" si="42"/>
        <v>1123916.9468689137</v>
      </c>
      <c r="CA48" s="114"/>
    </row>
    <row r="49" spans="1:79" s="115" customFormat="1" ht="15" thickBot="1">
      <c r="A49" s="430"/>
      <c r="B49" s="431" t="s">
        <v>102</v>
      </c>
      <c r="C49" s="432">
        <f>SUM(C9:C48)-C32</f>
        <v>525422953</v>
      </c>
      <c r="D49" s="433">
        <f>SUM(D9:D48)-D32</f>
        <v>47351081</v>
      </c>
      <c r="E49" s="433">
        <f>SUM(E9:E48)-E32</f>
        <v>4481273</v>
      </c>
      <c r="F49" s="433">
        <f>SUM(F9:F48)-F32</f>
        <v>63382684</v>
      </c>
      <c r="G49" s="434">
        <f>SUM(G9:G48)</f>
        <v>0.99999999999999989</v>
      </c>
      <c r="H49" s="435">
        <f>SUM(H9:H48)</f>
        <v>1</v>
      </c>
      <c r="J49" s="436">
        <f>Ridership_FY2025!B43/'Revenue Hours_FY2025'!B43</f>
        <v>13.526760546299428</v>
      </c>
      <c r="K49" s="437">
        <f>Ridership_FY2025!C43/'Revenue Hours_FY2025'!C43</f>
        <v>6.9491805201049877</v>
      </c>
      <c r="L49" s="437">
        <f>Ridership_FY2025!D43/'Revenue Hours_FY2025'!D43</f>
        <v>8.9536027544539518</v>
      </c>
      <c r="M49" s="437">
        <f>Ridership_FY2025!E43/'Revenue Hours_FY2025'!E43</f>
        <v>10.705045615153841</v>
      </c>
      <c r="N49" s="438"/>
      <c r="O49" s="439">
        <f>SUM(O9:O48)</f>
        <v>1.0585911144645941</v>
      </c>
      <c r="P49" s="440">
        <f>SUM(P9:P48)</f>
        <v>1</v>
      </c>
      <c r="Q49" s="436">
        <f>Ridership_FY2025!B43/'Revenue Miles_FY2025'!B43</f>
        <v>0.94516480852199081</v>
      </c>
      <c r="R49" s="437">
        <f>Ridership_FY2025!C43/'Revenue Miles_FY2025'!C43</f>
        <v>0.49283534368231213</v>
      </c>
      <c r="S49" s="437">
        <f>Ridership_FY2025!D43/'Revenue Miles_FY2025'!D43</f>
        <v>0.61981636789595917</v>
      </c>
      <c r="T49" s="437">
        <f>Ridership_FY2025!E43/'Revenue Miles_FY2025'!E43</f>
        <v>0.74193378363769658</v>
      </c>
      <c r="U49" s="438"/>
      <c r="V49" s="439">
        <f>SUM(V9:V48)</f>
        <v>1.0546863547699052</v>
      </c>
      <c r="W49" s="440">
        <f>SUM(W9:W48)</f>
        <v>0.99999999999999978</v>
      </c>
      <c r="X49" s="441">
        <f>'Op Cost_FY2025'!B43/'Revenue Hours_FY2025'!B43</f>
        <v>103.16343259700481</v>
      </c>
      <c r="Y49" s="442">
        <f>'Op Cost_FY2025'!C43/'Revenue Hours_FY2025'!C43</f>
        <v>125.95961510933006</v>
      </c>
      <c r="Z49" s="442">
        <f>'Op Cost_FY2025'!D43/'Revenue Hours_FY2025'!D43</f>
        <v>126.23027057650225</v>
      </c>
      <c r="AA49" s="442">
        <f>'Op Cost_FY2025'!E43/'Revenue Hours_FY2025'!E43</f>
        <v>117.50453980589081</v>
      </c>
      <c r="AB49" s="438"/>
      <c r="AC49" s="439">
        <f>SUM(AC9:AC48)</f>
        <v>0.93741876127340851</v>
      </c>
      <c r="AD49" s="440">
        <f>SUM(AD9:AD48)</f>
        <v>1.0000000000000002</v>
      </c>
      <c r="AE49" s="441">
        <f>'Op Cost_FY2025'!B43/'Revenue Miles_FY2025'!B43</f>
        <v>7.2084107413060252</v>
      </c>
      <c r="AF49" s="442">
        <f>'Op Cost_FY2025'!C43/'Revenue Miles_FY2025'!C43</f>
        <v>8.9330461372962819</v>
      </c>
      <c r="AG49" s="442">
        <f>'Op Cost_FY2025'!D43/'Revenue Miles_FY2025'!D43</f>
        <v>8.7383358378650051</v>
      </c>
      <c r="AH49" s="442">
        <f>'Op Cost_FY2025'!E43/'Revenue Miles_FY2025'!E43</f>
        <v>8.1438782184524161</v>
      </c>
      <c r="AI49" s="438"/>
      <c r="AJ49" s="439">
        <f>SUM(AJ9:AJ48)</f>
        <v>0.93962789630160004</v>
      </c>
      <c r="AK49" s="440">
        <f>SUM(AK9:AK48)</f>
        <v>1.0000000000000002</v>
      </c>
      <c r="AL49" s="441">
        <f>'Op Cost_FY2025'!B43/Ridership_FY2025!B43</f>
        <v>7.6266177880429513</v>
      </c>
      <c r="AM49" s="442">
        <f>'Op Cost_FY2025'!C43/Ridership_FY2025!C43</f>
        <v>18.125822857085176</v>
      </c>
      <c r="AN49" s="442">
        <f>'Op Cost_FY2025'!D43/Ridership_FY2025!D43</f>
        <v>14.098265696868143</v>
      </c>
      <c r="AO49" s="442">
        <f>'Op Cost_FY2025'!E43/Ridership_FY2025!E43</f>
        <v>10.97655666591031</v>
      </c>
      <c r="AP49" s="443"/>
      <c r="AQ49" s="439">
        <f>SUM(AQ9:AQ48)</f>
        <v>0.92103997671808457</v>
      </c>
      <c r="AR49" s="440">
        <f>SUM(AR9:AR48)</f>
        <v>1</v>
      </c>
      <c r="AT49" s="444">
        <f>SUM(AT9:AT48)</f>
        <v>0</v>
      </c>
      <c r="AU49" s="445">
        <f>SUM(AU9:AU48)</f>
        <v>0</v>
      </c>
      <c r="AV49" s="445">
        <f>SUM(AV9:AV48)</f>
        <v>0</v>
      </c>
      <c r="AW49" s="445">
        <f>SUM(AW9:AW48)</f>
        <v>0</v>
      </c>
      <c r="AX49" s="446">
        <f>SUM(AX9:AX48)</f>
        <v>0</v>
      </c>
      <c r="AZ49" s="447">
        <f t="shared" si="21"/>
        <v>0</v>
      </c>
      <c r="BA49" s="448">
        <f t="shared" si="21"/>
        <v>0</v>
      </c>
      <c r="BB49" s="448">
        <f t="shared" si="21"/>
        <v>0</v>
      </c>
      <c r="BC49" s="448">
        <f t="shared" si="21"/>
        <v>0</v>
      </c>
      <c r="BD49" s="448">
        <f t="shared" si="21"/>
        <v>0</v>
      </c>
      <c r="BE49" s="449">
        <f>SUM(BE9:BE48)</f>
        <v>122240500.45000002</v>
      </c>
      <c r="BG49" s="450">
        <f>'Op Cost_FY2025'!E43</f>
        <v>535846200</v>
      </c>
      <c r="BH49" s="451">
        <f>BE49/BG49</f>
        <v>0.22812609373734483</v>
      </c>
      <c r="BI49" s="452">
        <f>SUM(BI9:BI48)</f>
        <v>120079596.49410993</v>
      </c>
      <c r="BJ49" s="453">
        <f>SUM(BJ9:BJ48)</f>
        <v>2160903.9558901167</v>
      </c>
      <c r="BK49" s="107"/>
      <c r="BO49" s="558">
        <f t="shared" ref="BO49:BT49" si="45">SUM(BO9:BO48)</f>
        <v>110099308.21738325</v>
      </c>
      <c r="BP49" s="454">
        <f t="shared" si="45"/>
        <v>33.604487850243814</v>
      </c>
      <c r="BQ49" s="456">
        <f t="shared" si="45"/>
        <v>1.1380608600556743</v>
      </c>
      <c r="BR49" s="456">
        <f t="shared" si="45"/>
        <v>0.88610885523886618</v>
      </c>
      <c r="BS49" s="457">
        <f t="shared" si="45"/>
        <v>1.0000000000000004</v>
      </c>
      <c r="BT49" s="455">
        <f t="shared" si="45"/>
        <v>128674211</v>
      </c>
      <c r="BU49" s="455"/>
      <c r="BV49" s="455">
        <f t="shared" ref="BV49:BZ49" si="46">SUM(BV9:BV48)</f>
        <v>127779897.06719156</v>
      </c>
      <c r="BW49" s="455">
        <f t="shared" si="46"/>
        <v>894313.9328084311</v>
      </c>
      <c r="BX49" s="458">
        <f t="shared" si="46"/>
        <v>0.49676568515060004</v>
      </c>
      <c r="BY49" s="455">
        <f t="shared" si="46"/>
        <v>1</v>
      </c>
      <c r="BZ49" s="564">
        <f t="shared" si="46"/>
        <v>128674210.99999999</v>
      </c>
      <c r="CA49" s="459"/>
    </row>
    <row r="51" spans="1:79">
      <c r="CA51" s="114"/>
    </row>
    <row r="56" spans="1:79">
      <c r="B56" s="107">
        <v>1</v>
      </c>
      <c r="C56" s="107">
        <f>B56+1</f>
        <v>2</v>
      </c>
      <c r="D56" s="107">
        <f t="shared" ref="D56:BO56" si="47">C56+1</f>
        <v>3</v>
      </c>
      <c r="E56" s="107">
        <f t="shared" si="47"/>
        <v>4</v>
      </c>
      <c r="F56" s="107">
        <f t="shared" si="47"/>
        <v>5</v>
      </c>
      <c r="G56" s="107">
        <f t="shared" si="47"/>
        <v>6</v>
      </c>
      <c r="H56" s="107">
        <f t="shared" si="47"/>
        <v>7</v>
      </c>
      <c r="I56" s="107">
        <f t="shared" si="47"/>
        <v>8</v>
      </c>
      <c r="J56" s="107">
        <f t="shared" si="47"/>
        <v>9</v>
      </c>
      <c r="K56" s="107">
        <f t="shared" si="47"/>
        <v>10</v>
      </c>
      <c r="L56" s="107">
        <f t="shared" si="47"/>
        <v>11</v>
      </c>
      <c r="M56" s="107">
        <f t="shared" si="47"/>
        <v>12</v>
      </c>
      <c r="N56" s="107">
        <f t="shared" si="47"/>
        <v>13</v>
      </c>
      <c r="O56" s="107">
        <f t="shared" si="47"/>
        <v>14</v>
      </c>
      <c r="P56" s="107">
        <f t="shared" si="47"/>
        <v>15</v>
      </c>
      <c r="Q56" s="107">
        <f t="shared" si="47"/>
        <v>16</v>
      </c>
      <c r="R56" s="107">
        <f t="shared" si="47"/>
        <v>17</v>
      </c>
      <c r="S56" s="107">
        <f t="shared" si="47"/>
        <v>18</v>
      </c>
      <c r="T56" s="107">
        <f t="shared" si="47"/>
        <v>19</v>
      </c>
      <c r="U56" s="107">
        <f t="shared" si="47"/>
        <v>20</v>
      </c>
      <c r="V56" s="107">
        <f t="shared" si="47"/>
        <v>21</v>
      </c>
      <c r="W56" s="107">
        <f t="shared" si="47"/>
        <v>22</v>
      </c>
      <c r="X56" s="107">
        <f t="shared" si="47"/>
        <v>23</v>
      </c>
      <c r="Y56" s="107">
        <f t="shared" si="47"/>
        <v>24</v>
      </c>
      <c r="Z56" s="107">
        <f t="shared" si="47"/>
        <v>25</v>
      </c>
      <c r="AA56" s="107">
        <f t="shared" si="47"/>
        <v>26</v>
      </c>
      <c r="AB56" s="107">
        <f t="shared" si="47"/>
        <v>27</v>
      </c>
      <c r="AC56" s="107">
        <f t="shared" si="47"/>
        <v>28</v>
      </c>
      <c r="AD56" s="107">
        <f t="shared" si="47"/>
        <v>29</v>
      </c>
      <c r="AE56" s="107">
        <f t="shared" si="47"/>
        <v>30</v>
      </c>
      <c r="AF56" s="107">
        <f t="shared" si="47"/>
        <v>31</v>
      </c>
      <c r="AG56" s="107">
        <f t="shared" si="47"/>
        <v>32</v>
      </c>
      <c r="AH56" s="107">
        <f t="shared" si="47"/>
        <v>33</v>
      </c>
      <c r="AI56" s="107">
        <f t="shared" si="47"/>
        <v>34</v>
      </c>
      <c r="AJ56" s="107">
        <f t="shared" si="47"/>
        <v>35</v>
      </c>
      <c r="AK56" s="107">
        <f t="shared" si="47"/>
        <v>36</v>
      </c>
      <c r="AL56" s="107">
        <f t="shared" si="47"/>
        <v>37</v>
      </c>
      <c r="AM56" s="107">
        <f t="shared" si="47"/>
        <v>38</v>
      </c>
      <c r="AN56" s="107">
        <f t="shared" si="47"/>
        <v>39</v>
      </c>
      <c r="AO56" s="107">
        <f t="shared" si="47"/>
        <v>40</v>
      </c>
      <c r="AP56" s="107">
        <f t="shared" si="47"/>
        <v>41</v>
      </c>
      <c r="AQ56" s="107">
        <f t="shared" si="47"/>
        <v>42</v>
      </c>
      <c r="AR56" s="107">
        <f t="shared" si="47"/>
        <v>43</v>
      </c>
      <c r="AS56" s="107">
        <f t="shared" si="47"/>
        <v>44</v>
      </c>
      <c r="AT56" s="107">
        <f t="shared" si="47"/>
        <v>45</v>
      </c>
      <c r="AU56" s="107">
        <f t="shared" si="47"/>
        <v>46</v>
      </c>
      <c r="AV56" s="107">
        <f t="shared" si="47"/>
        <v>47</v>
      </c>
      <c r="AW56" s="107">
        <f t="shared" si="47"/>
        <v>48</v>
      </c>
      <c r="AX56" s="107">
        <f t="shared" si="47"/>
        <v>49</v>
      </c>
      <c r="AY56" s="107">
        <f t="shared" si="47"/>
        <v>50</v>
      </c>
      <c r="AZ56" s="107">
        <f t="shared" si="47"/>
        <v>51</v>
      </c>
      <c r="BA56" s="107">
        <f t="shared" si="47"/>
        <v>52</v>
      </c>
      <c r="BB56" s="107">
        <f t="shared" si="47"/>
        <v>53</v>
      </c>
      <c r="BC56" s="107">
        <f t="shared" si="47"/>
        <v>54</v>
      </c>
      <c r="BD56" s="107">
        <f t="shared" si="47"/>
        <v>55</v>
      </c>
      <c r="BE56" s="107">
        <f t="shared" si="47"/>
        <v>56</v>
      </c>
      <c r="BF56" s="107">
        <f t="shared" si="47"/>
        <v>57</v>
      </c>
      <c r="BG56" s="107">
        <f t="shared" si="47"/>
        <v>58</v>
      </c>
      <c r="BH56" s="107">
        <f t="shared" si="47"/>
        <v>59</v>
      </c>
      <c r="BI56" s="107">
        <f t="shared" si="47"/>
        <v>60</v>
      </c>
      <c r="BJ56" s="107">
        <f t="shared" si="47"/>
        <v>61</v>
      </c>
      <c r="BK56" s="107">
        <f t="shared" si="47"/>
        <v>62</v>
      </c>
      <c r="BL56" s="107">
        <f t="shared" si="47"/>
        <v>63</v>
      </c>
      <c r="BM56" s="107">
        <f t="shared" si="47"/>
        <v>64</v>
      </c>
      <c r="BN56" s="107">
        <f t="shared" si="47"/>
        <v>65</v>
      </c>
      <c r="BO56" s="107">
        <f t="shared" si="47"/>
        <v>66</v>
      </c>
      <c r="BP56" s="107">
        <f t="shared" ref="BP56:BQ56" si="48">BO56+1</f>
        <v>67</v>
      </c>
      <c r="BQ56" s="107">
        <f t="shared" si="48"/>
        <v>68</v>
      </c>
      <c r="BR56" s="107">
        <f t="shared" ref="BR56" si="49">BQ56+1</f>
        <v>69</v>
      </c>
      <c r="BS56" s="107">
        <f t="shared" ref="BS56" si="50">BR56+1</f>
        <v>70</v>
      </c>
      <c r="BT56" s="107">
        <f t="shared" ref="BT56" si="51">BS56+1</f>
        <v>71</v>
      </c>
      <c r="BU56" s="107">
        <f t="shared" ref="BU56" si="52">BT56+1</f>
        <v>72</v>
      </c>
      <c r="BV56" s="107">
        <f t="shared" ref="BV56" si="53">BU56+1</f>
        <v>73</v>
      </c>
      <c r="BW56" s="107">
        <f t="shared" ref="BW56" si="54">BV56+1</f>
        <v>74</v>
      </c>
      <c r="BX56" s="107">
        <f t="shared" ref="BX56" si="55">BW56+1</f>
        <v>75</v>
      </c>
      <c r="BY56" s="107">
        <f t="shared" ref="BY56" si="56">BX56+1</f>
        <v>76</v>
      </c>
      <c r="BZ56" s="107">
        <f t="shared" ref="BZ56" si="57">BY56+1</f>
        <v>77</v>
      </c>
    </row>
  </sheetData>
  <autoFilter ref="A8:BZ8" xr:uid="{00000000-0001-0000-0F00-000000000000}"/>
  <conditionalFormatting sqref="BK9:BK48">
    <cfRule type="cellIs" dxfId="7" priority="2" operator="greaterThan">
      <formula>0.93</formula>
    </cfRule>
  </conditionalFormatting>
  <conditionalFormatting sqref="BS9:BS48">
    <cfRule type="cellIs" dxfId="6" priority="1" operator="between">
      <formula>3</formula>
      <formula>30</formula>
    </cfRule>
  </conditionalFormatting>
  <printOptions horizontalCentered="1"/>
  <pageMargins left="0.25" right="0.25" top="0.75" bottom="0.75" header="0.3" footer="0.3"/>
  <pageSetup paperSize="17" scale="18" orientation="landscape" r:id="rId1"/>
  <headerFooter alignWithMargins="0">
    <oddFooter>&amp;L&amp;F&amp;R&amp;D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261D-7F59-4E09-8E09-A1FA51C57001}">
  <sheetPr>
    <tabColor theme="5"/>
    <pageSetUpPr fitToPage="1"/>
  </sheetPr>
  <dimension ref="A1:DA87"/>
  <sheetViews>
    <sheetView zoomScale="70" zoomScaleNormal="70" workbookViewId="0">
      <pane xSplit="2" topLeftCell="C1" activePane="topRight" state="frozen"/>
      <selection activeCell="BH12" sqref="BH12"/>
      <selection pane="topRight"/>
    </sheetView>
  </sheetViews>
  <sheetFormatPr defaultColWidth="9.28515625" defaultRowHeight="14.25"/>
  <cols>
    <col min="1" max="1" width="21.28515625" style="111" customWidth="1"/>
    <col min="2" max="2" width="49.42578125" style="107" bestFit="1" customWidth="1"/>
    <col min="3" max="3" width="5.85546875" style="107" customWidth="1"/>
    <col min="4" max="4" width="21.28515625" style="107" customWidth="1"/>
    <col min="5" max="5" width="17.42578125" style="107" customWidth="1"/>
    <col min="6" max="6" width="14.28515625" style="107" customWidth="1"/>
    <col min="7" max="7" width="13.5703125" style="107" customWidth="1"/>
    <col min="8" max="8" width="16.28515625" style="107" customWidth="1"/>
    <col min="9" max="9" width="17.42578125" style="110" customWidth="1"/>
    <col min="10" max="10" width="8" style="107" customWidth="1"/>
    <col min="11" max="11" width="8.7109375" style="107" customWidth="1"/>
    <col min="12" max="12" width="11.5703125" style="107" customWidth="1"/>
    <col min="13" max="14" width="8.7109375" style="107" customWidth="1"/>
    <col min="15" max="17" width="15.7109375" style="107" customWidth="1"/>
    <col min="18" max="21" width="8.7109375" style="107" customWidth="1"/>
    <col min="22" max="23" width="15.7109375" style="107" customWidth="1"/>
    <col min="24" max="24" width="15.7109375" style="109" customWidth="1"/>
    <col min="25" max="28" width="10.7109375" style="107" customWidth="1"/>
    <col min="29" max="30" width="15.7109375" style="107" customWidth="1"/>
    <col min="31" max="31" width="15.7109375" style="109" customWidth="1"/>
    <col min="32" max="35" width="8.7109375" style="107" customWidth="1"/>
    <col min="36" max="37" width="15.7109375" style="107" customWidth="1"/>
    <col min="38" max="38" width="15.7109375" style="109" customWidth="1"/>
    <col min="39" max="41" width="8.7109375" style="107" customWidth="1"/>
    <col min="42" max="42" width="9.28515625" style="107" customWidth="1"/>
    <col min="43" max="44" width="15.7109375" style="107" customWidth="1"/>
    <col min="45" max="45" width="15.7109375" style="109" customWidth="1"/>
    <col min="46" max="46" width="9.28515625" style="107" customWidth="1"/>
    <col min="47" max="51" width="17.7109375" style="107" customWidth="1"/>
    <col min="52" max="52" width="9.28515625" style="107" customWidth="1"/>
    <col min="53" max="53" width="20.28515625" style="107" customWidth="1"/>
    <col min="54" max="58" width="17.7109375" style="107" customWidth="1"/>
    <col min="59" max="59" width="14.28515625" style="107" bestFit="1" customWidth="1"/>
    <col min="60" max="60" width="15.7109375" style="108" customWidth="1"/>
    <col min="61" max="61" width="18.5703125" style="107" customWidth="1"/>
    <col min="62" max="62" width="23.5703125" style="107" customWidth="1"/>
    <col min="63" max="63" width="24.85546875" style="107" customWidth="1"/>
    <col min="64" max="64" width="9.28515625" style="107" customWidth="1"/>
    <col min="65" max="67" width="11" style="107" customWidth="1"/>
    <col min="68" max="68" width="23.140625" style="107" customWidth="1"/>
    <col min="69" max="69" width="23.28515625" style="107" customWidth="1"/>
    <col min="70" max="70" width="22.5703125" style="107" customWidth="1"/>
    <col min="71" max="74" width="21.7109375" style="107" customWidth="1"/>
    <col min="75" max="76" width="23.85546875" style="107" customWidth="1"/>
    <col min="77" max="77" width="26.7109375" style="107" customWidth="1"/>
    <col min="78" max="78" width="21.7109375" style="107" customWidth="1"/>
    <col min="79" max="80" width="9.28515625" style="107"/>
    <col min="81" max="81" width="13.85546875" style="107" customWidth="1"/>
    <col min="82" max="16384" width="9.28515625" style="107"/>
  </cols>
  <sheetData>
    <row r="1" spans="1:81" s="256" customFormat="1" ht="20.25">
      <c r="A1" s="263" t="s">
        <v>185</v>
      </c>
      <c r="D1" s="262"/>
      <c r="G1" s="261"/>
      <c r="I1" s="260"/>
      <c r="X1" s="259"/>
      <c r="AE1" s="259"/>
      <c r="AL1" s="259"/>
      <c r="AS1" s="259"/>
      <c r="BH1" s="258"/>
      <c r="BP1" s="257"/>
      <c r="BQ1" s="257"/>
      <c r="BR1" s="257"/>
      <c r="BS1" s="257"/>
      <c r="BT1" s="257"/>
      <c r="BU1" s="257"/>
      <c r="BV1" s="257"/>
      <c r="BW1" s="257"/>
      <c r="BX1" s="257"/>
      <c r="BY1" s="257"/>
      <c r="BZ1" s="257"/>
    </row>
    <row r="2" spans="1:81" ht="15" customHeight="1">
      <c r="B2" s="251"/>
      <c r="C2" s="251"/>
      <c r="D2" s="255"/>
      <c r="E2" s="249"/>
      <c r="F2" s="111"/>
      <c r="G2" s="248"/>
      <c r="I2" s="236"/>
      <c r="M2" s="228"/>
      <c r="O2" s="150"/>
      <c r="P2" s="150"/>
      <c r="S2" s="228"/>
      <c r="Z2" s="228"/>
      <c r="AG2" s="228"/>
      <c r="AN2" s="228"/>
    </row>
    <row r="3" spans="1:81" s="252" customFormat="1" ht="15" customHeight="1">
      <c r="B3" s="254"/>
      <c r="C3" s="254"/>
      <c r="D3" s="530" t="s">
        <v>184</v>
      </c>
      <c r="E3" s="530"/>
      <c r="F3" s="530"/>
      <c r="G3" s="530"/>
      <c r="H3" s="530"/>
      <c r="I3" s="530"/>
      <c r="K3" s="530" t="s">
        <v>183</v>
      </c>
      <c r="L3" s="530"/>
      <c r="M3" s="530"/>
      <c r="N3" s="530"/>
      <c r="O3" s="530"/>
      <c r="P3" s="530"/>
      <c r="Q3" s="530"/>
      <c r="R3" s="530"/>
      <c r="S3" s="530"/>
      <c r="T3" s="530"/>
      <c r="U3" s="530"/>
      <c r="V3" s="530"/>
      <c r="W3" s="530"/>
      <c r="X3" s="530"/>
      <c r="Y3" s="530"/>
      <c r="Z3" s="530"/>
      <c r="AA3" s="530"/>
      <c r="AB3" s="530"/>
      <c r="AC3" s="530"/>
      <c r="AD3" s="530"/>
      <c r="AE3" s="530"/>
      <c r="AF3" s="530"/>
      <c r="AG3" s="530"/>
      <c r="AH3" s="530"/>
      <c r="AI3" s="530"/>
      <c r="AJ3" s="530"/>
      <c r="AK3" s="530"/>
      <c r="AL3" s="530"/>
      <c r="AM3" s="530"/>
      <c r="AN3" s="530"/>
      <c r="AO3" s="530"/>
      <c r="AP3" s="530"/>
      <c r="AQ3" s="530"/>
      <c r="AR3" s="530"/>
      <c r="AS3" s="530"/>
      <c r="AU3" s="530" t="s">
        <v>182</v>
      </c>
      <c r="AV3" s="530"/>
      <c r="AW3" s="530"/>
      <c r="AX3" s="530"/>
      <c r="AY3" s="530"/>
      <c r="AZ3" s="254"/>
      <c r="BA3" s="530" t="s">
        <v>181</v>
      </c>
      <c r="BB3" s="530"/>
      <c r="BC3" s="530"/>
      <c r="BD3" s="530"/>
      <c r="BE3" s="530"/>
      <c r="BF3" s="530"/>
      <c r="BH3" s="530" t="s">
        <v>180</v>
      </c>
      <c r="BI3" s="530"/>
      <c r="BJ3" s="530"/>
      <c r="BK3" s="530"/>
      <c r="BL3" s="530"/>
      <c r="BM3" s="530"/>
      <c r="BN3" s="530"/>
      <c r="BO3" s="530"/>
      <c r="BP3" s="530"/>
      <c r="BQ3" s="530"/>
      <c r="BR3" s="530"/>
      <c r="BS3" s="530"/>
      <c r="BT3" s="530"/>
      <c r="BU3" s="530"/>
      <c r="BV3" s="530"/>
      <c r="BW3" s="530"/>
      <c r="BX3" s="530"/>
      <c r="BY3" s="530"/>
      <c r="BZ3" s="530"/>
    </row>
    <row r="4" spans="1:81" s="252" customFormat="1" ht="15" customHeight="1">
      <c r="B4" s="254"/>
      <c r="C4" s="254"/>
      <c r="D4" s="253"/>
      <c r="E4" s="253"/>
      <c r="F4" s="253"/>
      <c r="G4" s="253"/>
      <c r="H4" s="253"/>
      <c r="I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U4" s="253"/>
      <c r="AV4" s="253"/>
      <c r="AW4" s="253"/>
      <c r="AX4" s="253"/>
      <c r="AY4" s="253"/>
      <c r="AZ4" s="254"/>
      <c r="BA4" s="253"/>
      <c r="BB4" s="253"/>
      <c r="BC4" s="253"/>
      <c r="BD4" s="253"/>
      <c r="BE4" s="253"/>
      <c r="BF4" s="253"/>
      <c r="BH4" s="253"/>
      <c r="BI4" s="253"/>
      <c r="BJ4" s="253"/>
      <c r="BK4" s="253"/>
      <c r="BL4" s="253"/>
      <c r="BM4" s="253"/>
      <c r="BN4" s="253"/>
      <c r="BO4" s="253"/>
      <c r="BP4" s="253"/>
      <c r="BQ4" s="253"/>
      <c r="BR4" s="253"/>
      <c r="BS4" s="253"/>
      <c r="BT4" s="253"/>
      <c r="BU4" s="253"/>
      <c r="BV4" s="253"/>
      <c r="BW4" s="253"/>
      <c r="BX4" s="253"/>
      <c r="BY4" s="253"/>
      <c r="BZ4" s="253"/>
    </row>
    <row r="5" spans="1:81" ht="15" customHeight="1">
      <c r="B5" s="251"/>
      <c r="C5" s="251"/>
      <c r="D5" s="250" t="s">
        <v>179</v>
      </c>
      <c r="E5" s="249"/>
      <c r="F5" s="111"/>
      <c r="G5" s="248"/>
      <c r="I5" s="236"/>
      <c r="M5" s="228"/>
      <c r="O5" s="150"/>
      <c r="P5" s="150"/>
      <c r="S5" s="228"/>
      <c r="Z5" s="228"/>
      <c r="AG5" s="228"/>
      <c r="AN5" s="228"/>
      <c r="AU5" s="531" t="s">
        <v>178</v>
      </c>
      <c r="AV5" s="532"/>
      <c r="AW5" s="532"/>
      <c r="AX5" s="532"/>
      <c r="AY5" s="533"/>
      <c r="BA5" s="246" t="s">
        <v>177</v>
      </c>
      <c r="BJ5" s="246" t="s">
        <v>176</v>
      </c>
      <c r="BP5" s="246" t="s">
        <v>175</v>
      </c>
      <c r="BQ5" s="247"/>
      <c r="BR5" s="247"/>
      <c r="BS5" s="247"/>
      <c r="BT5" s="247"/>
      <c r="BU5" s="247" t="s">
        <v>174</v>
      </c>
      <c r="BV5" s="247"/>
      <c r="BW5" s="247"/>
      <c r="BX5" s="247"/>
      <c r="BY5" s="247"/>
      <c r="BZ5" s="247"/>
    </row>
    <row r="6" spans="1:81">
      <c r="B6" s="238"/>
      <c r="C6" s="238"/>
      <c r="D6" s="245">
        <v>0.35</v>
      </c>
      <c r="E6" s="245">
        <v>0.35</v>
      </c>
      <c r="F6" s="245">
        <v>0.15</v>
      </c>
      <c r="G6" s="245">
        <v>0.15</v>
      </c>
      <c r="I6" s="236"/>
      <c r="M6" s="228"/>
      <c r="O6" s="150"/>
      <c r="P6" s="150"/>
      <c r="S6" s="228"/>
      <c r="Z6" s="228"/>
      <c r="AG6" s="228"/>
      <c r="AN6" s="228"/>
      <c r="AU6" s="244">
        <v>0</v>
      </c>
      <c r="AV6" s="244">
        <v>0</v>
      </c>
      <c r="AW6" s="244">
        <v>0</v>
      </c>
      <c r="AX6" s="244">
        <v>0</v>
      </c>
      <c r="AY6" s="244">
        <v>0</v>
      </c>
      <c r="AZ6" s="212"/>
      <c r="BA6" s="243">
        <f>126704869*(1-AZ8)</f>
        <v>120369625.55</v>
      </c>
      <c r="BB6" s="107" t="s">
        <v>172</v>
      </c>
      <c r="BJ6" s="242">
        <v>0.3</v>
      </c>
      <c r="BP6" s="240">
        <f>$BK$50+BA8</f>
        <v>7484354.6381958527</v>
      </c>
      <c r="BQ6" s="239"/>
      <c r="BR6" s="239"/>
      <c r="BS6" s="239"/>
      <c r="BT6" s="239"/>
      <c r="BU6" s="241">
        <v>0.3</v>
      </c>
      <c r="BV6" s="239"/>
      <c r="BW6" s="239"/>
      <c r="BX6" s="239"/>
      <c r="BY6" s="239"/>
      <c r="BZ6" s="239"/>
    </row>
    <row r="7" spans="1:81">
      <c r="B7" s="238"/>
      <c r="C7" s="238"/>
      <c r="D7" s="237"/>
      <c r="E7" s="237"/>
      <c r="F7" s="237"/>
      <c r="G7" s="237"/>
      <c r="I7" s="236"/>
      <c r="M7" s="228"/>
      <c r="O7" s="150"/>
      <c r="P7" s="150"/>
      <c r="S7" s="228"/>
      <c r="Z7" s="228"/>
      <c r="AG7" s="228"/>
      <c r="AN7" s="228"/>
      <c r="AU7" s="235"/>
      <c r="AV7" s="235"/>
      <c r="AW7" s="235"/>
      <c r="AX7" s="235"/>
      <c r="AY7" s="235"/>
      <c r="AZ7" s="212"/>
      <c r="BA7" s="234"/>
      <c r="BJ7" s="233"/>
      <c r="BP7" s="232" t="s">
        <v>171</v>
      </c>
      <c r="BQ7" s="232" t="s">
        <v>170</v>
      </c>
      <c r="BR7" s="232" t="s">
        <v>37</v>
      </c>
      <c r="BT7" s="232"/>
      <c r="BU7" s="232"/>
      <c r="BV7" s="232"/>
      <c r="BW7" s="232"/>
      <c r="BX7" s="232"/>
      <c r="BY7" s="232"/>
      <c r="BZ7" s="232"/>
    </row>
    <row r="8" spans="1:81" ht="15" customHeight="1" thickBot="1">
      <c r="A8" s="107"/>
      <c r="D8" s="230" t="s">
        <v>169</v>
      </c>
      <c r="I8" s="231" t="s">
        <v>168</v>
      </c>
      <c r="K8" s="230" t="s">
        <v>167</v>
      </c>
      <c r="AY8" s="107" t="s">
        <v>166</v>
      </c>
      <c r="AZ8" s="228">
        <v>0.05</v>
      </c>
      <c r="BA8" s="229">
        <f>126704869*AZ8</f>
        <v>6335243.4500000002</v>
      </c>
      <c r="BB8" s="107" t="s">
        <v>165</v>
      </c>
      <c r="BP8" s="228">
        <v>0.25</v>
      </c>
      <c r="BQ8" s="228">
        <v>0.25</v>
      </c>
      <c r="BR8" s="228">
        <v>0.5</v>
      </c>
    </row>
    <row r="9" spans="1:81" s="212" customFormat="1">
      <c r="A9" s="534" t="s">
        <v>41</v>
      </c>
      <c r="B9" s="537" t="s">
        <v>59</v>
      </c>
      <c r="C9" s="227"/>
      <c r="D9" s="226" t="s">
        <v>164</v>
      </c>
      <c r="E9" s="225"/>
      <c r="F9" s="225"/>
      <c r="G9" s="225"/>
      <c r="H9" s="224"/>
      <c r="I9" s="223"/>
      <c r="K9" s="220" t="s">
        <v>163</v>
      </c>
      <c r="L9" s="220"/>
      <c r="M9" s="220"/>
      <c r="N9" s="220"/>
      <c r="O9" s="220"/>
      <c r="P9" s="220"/>
      <c r="Q9" s="222"/>
      <c r="R9" s="221" t="s">
        <v>162</v>
      </c>
      <c r="S9" s="220"/>
      <c r="T9" s="220"/>
      <c r="U9" s="220"/>
      <c r="V9" s="220"/>
      <c r="W9" s="220"/>
      <c r="X9" s="222"/>
      <c r="Y9" s="221" t="s">
        <v>161</v>
      </c>
      <c r="Z9" s="220"/>
      <c r="AA9" s="220"/>
      <c r="AB9" s="220"/>
      <c r="AC9" s="220"/>
      <c r="AD9" s="220"/>
      <c r="AE9" s="222"/>
      <c r="AF9" s="221" t="s">
        <v>160</v>
      </c>
      <c r="AG9" s="220"/>
      <c r="AH9" s="220"/>
      <c r="AI9" s="220"/>
      <c r="AJ9" s="220"/>
      <c r="AK9" s="220"/>
      <c r="AL9" s="222"/>
      <c r="AM9" s="221" t="s">
        <v>159</v>
      </c>
      <c r="AN9" s="220"/>
      <c r="AO9" s="220"/>
      <c r="AP9" s="220"/>
      <c r="AQ9" s="220"/>
      <c r="AR9" s="220"/>
      <c r="AS9" s="220"/>
      <c r="BA9" s="219"/>
      <c r="BB9" s="219"/>
      <c r="BC9" s="219"/>
      <c r="BD9" s="219"/>
      <c r="BE9" s="219"/>
      <c r="BH9" s="218"/>
      <c r="BI9" s="216"/>
      <c r="BP9" s="216"/>
      <c r="BQ9" s="216"/>
      <c r="BR9" s="216"/>
      <c r="BS9" s="216"/>
      <c r="BT9" s="216"/>
      <c r="BU9" s="216"/>
      <c r="BV9" s="216"/>
      <c r="BW9" s="216"/>
      <c r="BX9" s="216"/>
      <c r="BY9" s="216"/>
      <c r="BZ9" s="216"/>
    </row>
    <row r="10" spans="1:81" s="206" customFormat="1" ht="15" thickBot="1">
      <c r="A10" s="535"/>
      <c r="B10" s="538"/>
      <c r="C10" s="215"/>
      <c r="D10" s="214">
        <f>D$6</f>
        <v>0.35</v>
      </c>
      <c r="E10" s="214">
        <f>E$6</f>
        <v>0.35</v>
      </c>
      <c r="F10" s="214">
        <f>F$6</f>
        <v>0.15</v>
      </c>
      <c r="G10" s="214">
        <f>G$6</f>
        <v>0.15</v>
      </c>
      <c r="H10" s="214"/>
      <c r="I10" s="213"/>
      <c r="J10" s="212"/>
      <c r="K10" s="211" t="s">
        <v>157</v>
      </c>
      <c r="L10" s="208"/>
      <c r="M10" s="208"/>
      <c r="N10" s="208"/>
      <c r="O10" s="208"/>
      <c r="P10" s="208"/>
      <c r="Q10" s="210"/>
      <c r="R10" s="209" t="s">
        <v>156</v>
      </c>
      <c r="S10" s="208"/>
      <c r="T10" s="208"/>
      <c r="U10" s="208"/>
      <c r="V10" s="208"/>
      <c r="W10" s="208"/>
      <c r="X10" s="210"/>
      <c r="Y10" s="209" t="s">
        <v>155</v>
      </c>
      <c r="Z10" s="208"/>
      <c r="AA10" s="208"/>
      <c r="AB10" s="208"/>
      <c r="AC10" s="208"/>
      <c r="AD10" s="208"/>
      <c r="AE10" s="210"/>
      <c r="AF10" s="209" t="s">
        <v>154</v>
      </c>
      <c r="AG10" s="208"/>
      <c r="AH10" s="208"/>
      <c r="AI10" s="208"/>
      <c r="AJ10" s="208"/>
      <c r="AK10" s="208"/>
      <c r="AL10" s="210"/>
      <c r="AM10" s="209" t="s">
        <v>153</v>
      </c>
      <c r="AN10" s="208"/>
      <c r="AO10" s="208"/>
      <c r="AP10" s="208"/>
      <c r="AQ10" s="208"/>
      <c r="AR10" s="208"/>
      <c r="AS10" s="208"/>
      <c r="BH10" s="207" t="s">
        <v>152</v>
      </c>
      <c r="BP10" s="207" t="s">
        <v>151</v>
      </c>
      <c r="BQ10" s="207"/>
      <c r="BR10" s="207"/>
      <c r="BS10" s="207"/>
      <c r="BT10" s="207"/>
      <c r="BU10" s="207"/>
      <c r="BV10" s="207"/>
      <c r="BW10" s="207"/>
      <c r="BX10" s="207"/>
      <c r="BY10" s="207"/>
      <c r="BZ10" s="207"/>
    </row>
    <row r="11" spans="1:81" s="184" customFormat="1" ht="101.25" customHeight="1">
      <c r="A11" s="536"/>
      <c r="B11" s="539"/>
      <c r="C11" s="205"/>
      <c r="D11" s="204" t="s">
        <v>150</v>
      </c>
      <c r="E11" s="203" t="s">
        <v>149</v>
      </c>
      <c r="F11" s="203" t="s">
        <v>148</v>
      </c>
      <c r="G11" s="203" t="s">
        <v>147</v>
      </c>
      <c r="H11" s="203" t="s">
        <v>146</v>
      </c>
      <c r="I11" s="202" t="s">
        <v>145</v>
      </c>
      <c r="K11" s="201">
        <v>2021</v>
      </c>
      <c r="L11" s="199">
        <v>2022</v>
      </c>
      <c r="M11" s="199">
        <v>2023</v>
      </c>
      <c r="N11" s="199">
        <v>2024</v>
      </c>
      <c r="O11" s="198" t="s">
        <v>144</v>
      </c>
      <c r="P11" s="198" t="s">
        <v>143</v>
      </c>
      <c r="Q11" s="200" t="s">
        <v>134</v>
      </c>
      <c r="R11" s="199">
        <v>2021</v>
      </c>
      <c r="S11" s="199">
        <v>2022</v>
      </c>
      <c r="T11" s="199">
        <v>2023</v>
      </c>
      <c r="U11" s="199">
        <v>2024</v>
      </c>
      <c r="V11" s="198" t="s">
        <v>142</v>
      </c>
      <c r="W11" s="198" t="s">
        <v>141</v>
      </c>
      <c r="X11" s="200" t="s">
        <v>134</v>
      </c>
      <c r="Y11" s="199">
        <v>2021</v>
      </c>
      <c r="Z11" s="199">
        <v>2022</v>
      </c>
      <c r="AA11" s="199">
        <v>2023</v>
      </c>
      <c r="AB11" s="199">
        <v>2024</v>
      </c>
      <c r="AC11" s="198" t="s">
        <v>140</v>
      </c>
      <c r="AD11" s="198" t="s">
        <v>139</v>
      </c>
      <c r="AE11" s="200" t="s">
        <v>134</v>
      </c>
      <c r="AF11" s="199">
        <v>2021</v>
      </c>
      <c r="AG11" s="199">
        <v>2022</v>
      </c>
      <c r="AH11" s="199">
        <v>2023</v>
      </c>
      <c r="AI11" s="199">
        <v>2024</v>
      </c>
      <c r="AJ11" s="198" t="s">
        <v>138</v>
      </c>
      <c r="AK11" s="198" t="s">
        <v>137</v>
      </c>
      <c r="AL11" s="200" t="s">
        <v>134</v>
      </c>
      <c r="AM11" s="199">
        <v>2021</v>
      </c>
      <c r="AN11" s="199">
        <v>2022</v>
      </c>
      <c r="AO11" s="199">
        <v>2023</v>
      </c>
      <c r="AP11" s="199">
        <v>2024</v>
      </c>
      <c r="AQ11" s="198" t="s">
        <v>136</v>
      </c>
      <c r="AR11" s="198" t="s">
        <v>135</v>
      </c>
      <c r="AS11" s="197" t="s">
        <v>134</v>
      </c>
      <c r="AU11" s="196" t="s">
        <v>133</v>
      </c>
      <c r="AV11" s="195" t="s">
        <v>132</v>
      </c>
      <c r="AW11" s="195" t="s">
        <v>131</v>
      </c>
      <c r="AX11" s="195" t="s">
        <v>130</v>
      </c>
      <c r="AY11" s="194" t="s">
        <v>129</v>
      </c>
      <c r="BA11" s="193" t="s">
        <v>128</v>
      </c>
      <c r="BB11" s="192" t="s">
        <v>127</v>
      </c>
      <c r="BC11" s="192" t="s">
        <v>126</v>
      </c>
      <c r="BD11" s="192" t="s">
        <v>125</v>
      </c>
      <c r="BE11" s="192" t="s">
        <v>124</v>
      </c>
      <c r="BF11" s="191" t="s">
        <v>123</v>
      </c>
      <c r="BH11" s="189" t="s">
        <v>109</v>
      </c>
      <c r="BI11" s="186" t="s">
        <v>108</v>
      </c>
      <c r="BJ11" s="186" t="s">
        <v>107</v>
      </c>
      <c r="BK11" s="190" t="s">
        <v>106</v>
      </c>
      <c r="BM11" s="550" t="s">
        <v>122</v>
      </c>
      <c r="BN11" s="550" t="s">
        <v>121</v>
      </c>
      <c r="BO11" s="565" t="s">
        <v>120</v>
      </c>
      <c r="BP11" s="380" t="s">
        <v>105</v>
      </c>
      <c r="BQ11" s="187" t="s">
        <v>119</v>
      </c>
      <c r="BR11" s="187" t="s">
        <v>118</v>
      </c>
      <c r="BS11" s="187" t="s">
        <v>117</v>
      </c>
      <c r="BT11" s="187" t="s">
        <v>116</v>
      </c>
      <c r="BU11" s="187" t="s">
        <v>115</v>
      </c>
      <c r="BV11" s="560" t="s">
        <v>114</v>
      </c>
      <c r="BW11" s="560" t="s">
        <v>113</v>
      </c>
      <c r="BX11" s="187" t="s">
        <v>112</v>
      </c>
      <c r="BY11" s="187" t="s">
        <v>111</v>
      </c>
      <c r="BZ11" s="561" t="s">
        <v>110</v>
      </c>
    </row>
    <row r="12" spans="1:81">
      <c r="A12" s="183" t="s">
        <v>49</v>
      </c>
      <c r="B12" s="180" t="s">
        <v>60</v>
      </c>
      <c r="C12" s="144"/>
      <c r="D12" s="179">
        <f>'Sizing - Reim Expen_FY2026'!B3</f>
        <v>2553471</v>
      </c>
      <c r="E12" s="178">
        <f>'Ridership-FY2026'!$E3</f>
        <v>124617</v>
      </c>
      <c r="F12" s="178">
        <f>'Revenue Hours_FY2026'!$E3</f>
        <v>31601</v>
      </c>
      <c r="G12" s="178">
        <f>'Revenue Miles_FY2026'!$E3</f>
        <v>650766</v>
      </c>
      <c r="H12" s="182">
        <f t="shared" ref="H12:H49" si="0">IFERROR($D$10*(D12/D$50),0) + IFERROR($E$10*(E12/E$50),0) + IFERROR($F$10*(F12/F$50),0) + IFERROR($G$10*(G12/G$50),0)</f>
        <v>4.8842254940669322E-3</v>
      </c>
      <c r="I12" s="176">
        <f t="shared" ref="I12:I49" si="1">H12/(SUM($H$12:$H$49))</f>
        <v>4.8842254940669322E-3</v>
      </c>
      <c r="J12" s="167"/>
      <c r="K12" s="175">
        <f>'Ridership-FY2026'!B3/'Revenue Hours_FY2026'!B3</f>
        <v>3.0233116215289679</v>
      </c>
      <c r="L12" s="171">
        <f>'Ridership-FY2026'!C3/'Revenue Hours_FY2026'!C3</f>
        <v>3.1691372472531043</v>
      </c>
      <c r="M12" s="171">
        <f>'Ridership-FY2026'!D3/'Revenue Hours_FY2026'!D3</f>
        <v>3.6951123254401943</v>
      </c>
      <c r="N12" s="171">
        <f>'Ridership-FY2026'!E3/'Revenue Hours_FY2026'!E3</f>
        <v>3.9434511566089681</v>
      </c>
      <c r="O12" s="174">
        <f t="shared" ref="O12:O49" si="2">IF(K12=0,IF(L12=0,1,AVERAGE(1,(M12/L12)/($M$50/$L$50),(N12/M12)/($N$50/$M$50))), AVERAGE((L12/K12)/($L$50/$K$50),(M12/L12)/($M$50/$L$50),(N12/M12)/($N$50/$M$50)))</f>
        <v>0.93176116753380356</v>
      </c>
      <c r="P12" s="169">
        <f t="shared" ref="P12:P49" si="3">$I12*O12</f>
        <v>4.5509316488501735E-3</v>
      </c>
      <c r="Q12" s="173">
        <f t="shared" ref="Q12:Q49" si="4">P12/SUM($P$12:$P$49)</f>
        <v>4.3984451800586797E-3</v>
      </c>
      <c r="R12" s="172">
        <f>'Ridership-FY2026'!B3/'Revenue Miles_FY2026'!B3</f>
        <v>0.1472857600940598</v>
      </c>
      <c r="S12" s="171">
        <f>'Ridership-FY2026'!C3/'Revenue Miles_FY2026'!C3</f>
        <v>0.15372497942218116</v>
      </c>
      <c r="T12" s="171">
        <f>'Ridership-FY2026'!D3/'Revenue Miles_FY2026'!D3</f>
        <v>0.17586518789083722</v>
      </c>
      <c r="U12" s="171">
        <f>'Ridership-FY2026'!E3/'Revenue Miles_FY2026'!E3</f>
        <v>0.19149279464507979</v>
      </c>
      <c r="V12" s="174">
        <f t="shared" ref="V12:V49" si="5">IF(R12=0,IF(S12=0,1,AVERAGE(1,(T12/S12)/($T$50/$S$50),(U12/T12)/($U$50/$T$50))), AVERAGE((S12/R12)/($S$50/$R$50),(T12/S12)/($T$50/$S$50),(U12/T12)/($U$50/$T$50)))</f>
        <v>0.9347970958451205</v>
      </c>
      <c r="W12" s="169">
        <f t="shared" ref="W12:W49" si="6">$I12*V12</f>
        <v>4.5657598073064673E-3</v>
      </c>
      <c r="X12" s="173">
        <f t="shared" ref="X12:X49" si="7">W12/SUM($W$12:$W$49)</f>
        <v>4.4189468867397745E-3</v>
      </c>
      <c r="Y12" s="172">
        <f>'Op Cost_FY2026'!B3/'Revenue Hours_FY2026'!B3</f>
        <v>64.628076791223862</v>
      </c>
      <c r="Z12" s="171">
        <f>'Op Cost_FY2026'!C3/'Revenue Hours_FY2026'!C3</f>
        <v>74.945094597230351</v>
      </c>
      <c r="AA12" s="171">
        <f>'Op Cost_FY2026'!D3/'Revenue Hours_FY2026'!D3</f>
        <v>75.894444444444446</v>
      </c>
      <c r="AB12" s="171">
        <f>'Op Cost_FY2026'!E3/'Revenue Hours_FY2026'!E3</f>
        <v>80.803487231416725</v>
      </c>
      <c r="AC12" s="174">
        <f t="shared" ref="AC12:AC49" si="8">IF(Y12=0,IF(Z12=0,1,AVERAGE(1,(AA12/Z12)/($AA$50/$AA$50),(AB12/AA12)/($AB$50/$AA$50))), AVERAGE((Z12/Y12)/($Z$50/$Y$50),(AA12/Z12)/($AA$50/$Z$50),(AB12/AA12)/($AB$50/$AA$50)))</f>
        <v>1.0336474299505864</v>
      </c>
      <c r="AD12" s="169">
        <f t="shared" ref="AD12:AD49" si="9">$I12*(1/AC12)</f>
        <v>4.7252335298704536E-3</v>
      </c>
      <c r="AE12" s="173">
        <f t="shared" ref="AE12:AE49" si="10">AD12/SUM($AD$12:$AD$49)</f>
        <v>4.7336307396691106E-3</v>
      </c>
      <c r="AF12" s="172">
        <f>'Op Cost_FY2026'!B3/'Revenue Miles_FY2026'!B3</f>
        <v>3.148466517916789</v>
      </c>
      <c r="AG12" s="171">
        <f>'Op Cost_FY2026'!C3/'Revenue Miles_FY2026'!C3</f>
        <v>3.6353531658304137</v>
      </c>
      <c r="AH12" s="171">
        <f>'Op Cost_FY2026'!D3/'Revenue Miles_FY2026'!D3</f>
        <v>3.61212043276733</v>
      </c>
      <c r="AI12" s="171">
        <f>'Op Cost_FY2026'!E3/'Revenue Miles_FY2026'!E3</f>
        <v>3.9237928840781477</v>
      </c>
      <c r="AJ12" s="174">
        <f t="shared" ref="AJ12:AJ49" si="11">IF(AF12=0,IF(AG12=0,1,AVERAGE(1,(AH12/AG12)/($AH$50/$AG$50),(AI12/AH12)/($AI$50/$AH$50))), AVERAGE((AG12/AF12)/($AG$50/$AF$50),(AH12/AG12)/($AH$50/$AG$50),(AI12/AH12)/($AI$50/$AH$50)))</f>
        <v>1.0389409184023559</v>
      </c>
      <c r="AK12" s="169">
        <f t="shared" ref="AK12:AK49" si="12">$I12*(1/AJ12)</f>
        <v>4.7011580808442015E-3</v>
      </c>
      <c r="AL12" s="173">
        <f t="shared" ref="AL12:AL49" si="13">AK12/SUM($AK$12:$AK$49)</f>
        <v>4.7090979479455916E-3</v>
      </c>
      <c r="AM12" s="172">
        <f>'Op Cost_FY2026'!B3/'Ridership-FY2026'!B3</f>
        <v>21.37658464678535</v>
      </c>
      <c r="AN12" s="171">
        <f>'Op Cost_FY2026'!C3/'Ridership-FY2026'!C3</f>
        <v>23.64842187323698</v>
      </c>
      <c r="AO12" s="171">
        <f>'Op Cost_FY2026'!D3/'Ridership-FY2026'!D3</f>
        <v>20.53914408012028</v>
      </c>
      <c r="AP12" s="171">
        <f>'Op Cost_FY2026'!E3/'Ridership-FY2026'!E3</f>
        <v>20.490551048412335</v>
      </c>
      <c r="AQ12" s="170">
        <f t="shared" ref="AQ12:AQ49" si="14">IF(AM12=0,IF(AN12=0,1,AVERAGE(1,(AO12/AN12)/($AO$50/$AN$50),(AP12/AO12)/($AP$50/$AO$50))), AVERAGE((AN12/AM12)/($AN$50/$AM$50),(AO12/AN12)/($AO$50/$AN$50),(AP12/AO12)/($AP$50/$AO$50)))</f>
        <v>1.1261773463790854</v>
      </c>
      <c r="AR12" s="169">
        <f t="shared" ref="AR12:AR49" si="15">$I12*(1/AQ12)</f>
        <v>4.3369949766533852E-3</v>
      </c>
      <c r="AS12" s="168">
        <f t="shared" ref="AS12:AS49" si="16">AR12/SUM($AR$12:$AR$49)</f>
        <v>4.3623315681135272E-3</v>
      </c>
      <c r="AT12" s="167"/>
      <c r="AU12" s="166">
        <f t="shared" ref="AU12:AU49" si="17">Q12*AU$6</f>
        <v>0</v>
      </c>
      <c r="AV12" s="165">
        <f t="shared" ref="AV12:AV49" si="18">X12*AV$6</f>
        <v>0</v>
      </c>
      <c r="AW12" s="165">
        <f t="shared" ref="AW12:AW49" si="19">AE12*AW$6</f>
        <v>0</v>
      </c>
      <c r="AX12" s="165">
        <f t="shared" ref="AX12:AX49" si="20">AL12*AX$6</f>
        <v>0</v>
      </c>
      <c r="AY12" s="164">
        <f t="shared" ref="AY12:AY49" si="21">AS12*AY$6</f>
        <v>0</v>
      </c>
      <c r="AZ12" s="163">
        <f>(SUM(AU12:AY12)-I12)/I12</f>
        <v>-1</v>
      </c>
      <c r="BA12" s="162">
        <f t="shared" ref="BA12:BE50" si="22">AU12*$BA$6</f>
        <v>0</v>
      </c>
      <c r="BB12" s="161">
        <f t="shared" si="22"/>
        <v>0</v>
      </c>
      <c r="BC12" s="161">
        <f t="shared" si="22"/>
        <v>0</v>
      </c>
      <c r="BD12" s="161">
        <f t="shared" si="22"/>
        <v>0</v>
      </c>
      <c r="BE12" s="161">
        <f t="shared" si="22"/>
        <v>0</v>
      </c>
      <c r="BF12" s="160">
        <f>$BA$6*I12</f>
        <v>587912.39382260037</v>
      </c>
      <c r="BH12" s="159">
        <f>'Op Cost_FY2026'!E3</f>
        <v>2553471</v>
      </c>
      <c r="BI12" s="158">
        <f t="shared" ref="BI12:BI49" si="23">BF12/BH12</f>
        <v>0.23024048200375111</v>
      </c>
      <c r="BJ12" s="157">
        <f t="shared" ref="BJ12:BJ49" si="24">IF(BF12&gt;BH12*$BJ$6,BH12*$BJ$6,BF12)</f>
        <v>587912.39382260037</v>
      </c>
      <c r="BK12" s="156">
        <f t="shared" ref="BK12:BK49" si="25">BF12-BJ12</f>
        <v>0</v>
      </c>
      <c r="BM12" s="548">
        <f>N12/$N$50</f>
        <v>0.34773542043569428</v>
      </c>
      <c r="BN12" s="548">
        <f>U12/$U$50</f>
        <v>0.23808511062770701</v>
      </c>
      <c r="BO12" s="566">
        <f>(1/AP12)/(1/$AP$50)</f>
        <v>0.53427396781747283</v>
      </c>
      <c r="BP12" s="401">
        <f t="shared" ref="BP12:BP49" si="26">IF(OR(BK12&gt;0,BI12&gt;=$BJ$6),0,BJ12)</f>
        <v>587912.39382260037</v>
      </c>
      <c r="BQ12" s="551">
        <f>(BM12*$BP$8+BN12*$BQ$8+BO12*$BR$8)*I12</f>
        <v>2.0200771604071215E-3</v>
      </c>
      <c r="BR12" s="552">
        <f>IF(BP12=0,0,BQ12)</f>
        <v>2.0200771604071215E-3</v>
      </c>
      <c r="BS12" s="553">
        <f>BR12/$BR$50</f>
        <v>2.1240526056309221E-3</v>
      </c>
      <c r="BT12" s="540">
        <f>$BP$6*BS12+BJ12</f>
        <v>603809.55679332616</v>
      </c>
      <c r="BU12" s="540">
        <f>BH12*$BU$6</f>
        <v>766041.29999999993</v>
      </c>
      <c r="BV12" s="540">
        <f>IF(BT12&lt;BU12,BT12, BU12)</f>
        <v>603809.55679332616</v>
      </c>
      <c r="BW12" s="540">
        <f>BT12-BV12</f>
        <v>0</v>
      </c>
      <c r="BX12" s="541">
        <f>IF(AND(BW12=0,BK12=0),BR12,0)</f>
        <v>2.0200771604071215E-3</v>
      </c>
      <c r="BY12" s="542">
        <f>BX12/$BX$50</f>
        <v>2.2872743891869298E-3</v>
      </c>
      <c r="BZ12" s="563">
        <f>$BW$50*BY12+BV12</f>
        <v>604444.36956703861</v>
      </c>
      <c r="CC12" s="147"/>
    </row>
    <row r="13" spans="1:81">
      <c r="A13" s="181" t="s">
        <v>49</v>
      </c>
      <c r="B13" s="180" t="s">
        <v>61</v>
      </c>
      <c r="C13" s="144"/>
      <c r="D13" s="179">
        <f>'Sizing - Reim Expen_FY2026'!B4</f>
        <v>361548</v>
      </c>
      <c r="E13" s="178">
        <f>'Ridership-FY2026'!$E4</f>
        <v>42876</v>
      </c>
      <c r="F13" s="178">
        <f>'Revenue Hours_FY2026'!$E4</f>
        <v>7605</v>
      </c>
      <c r="G13" s="178">
        <f>'Revenue Miles_FY2026'!$E4</f>
        <v>91473</v>
      </c>
      <c r="H13" s="177">
        <f t="shared" si="0"/>
        <v>9.5666177558571906E-4</v>
      </c>
      <c r="I13" s="176">
        <f t="shared" si="1"/>
        <v>9.5666177558571906E-4</v>
      </c>
      <c r="J13" s="167"/>
      <c r="K13" s="175">
        <f>'Ridership-FY2026'!B4/'Revenue Hours_FY2026'!B4</f>
        <v>3.8435006435006436</v>
      </c>
      <c r="L13" s="171">
        <f>'Ridership-FY2026'!C4/'Revenue Hours_FY2026'!C4</f>
        <v>4.8354101054361225</v>
      </c>
      <c r="M13" s="171">
        <f>'Ridership-FY2026'!D4/'Revenue Hours_FY2026'!D4</f>
        <v>5.5493279229013446</v>
      </c>
      <c r="N13" s="171">
        <f>'Ridership-FY2026'!E4/'Revenue Hours_FY2026'!E4</f>
        <v>5.6378698224852073</v>
      </c>
      <c r="O13" s="174">
        <f t="shared" si="2"/>
        <v>0.96523278806967661</v>
      </c>
      <c r="P13" s="169">
        <f t="shared" si="3"/>
        <v>9.2340131288829092E-4</v>
      </c>
      <c r="Q13" s="173">
        <f t="shared" si="4"/>
        <v>8.9246122933081973E-4</v>
      </c>
      <c r="R13" s="172">
        <f>'Ridership-FY2026'!B4/'Revenue Miles_FY2026'!B4</f>
        <v>0.31931227680003421</v>
      </c>
      <c r="S13" s="171">
        <f>'Ridership-FY2026'!C4/'Revenue Miles_FY2026'!C4</f>
        <v>0.41985803797543603</v>
      </c>
      <c r="T13" s="171">
        <f>'Ridership-FY2026'!D4/'Revenue Miles_FY2026'!D4</f>
        <v>0.46390976646560589</v>
      </c>
      <c r="U13" s="171">
        <f>'Ridership-FY2026'!E4/'Revenue Miles_FY2026'!E4</f>
        <v>0.46872847725558364</v>
      </c>
      <c r="V13" s="174">
        <f t="shared" si="5"/>
        <v>0.97136734783700807</v>
      </c>
      <c r="W13" s="169">
        <f t="shared" si="6"/>
        <v>9.2927001172774296E-4</v>
      </c>
      <c r="X13" s="173">
        <f t="shared" si="7"/>
        <v>8.9938914848161449E-4</v>
      </c>
      <c r="Y13" s="172">
        <f>'Op Cost_FY2026'!B4/'Revenue Hours_FY2026'!B4</f>
        <v>108.14491634491634</v>
      </c>
      <c r="Z13" s="171">
        <f>'Op Cost_FY2026'!C4/'Revenue Hours_FY2026'!C4</f>
        <v>62.039983568396551</v>
      </c>
      <c r="AA13" s="171">
        <f>'Op Cost_FY2026'!D4/'Revenue Hours_FY2026'!D4</f>
        <v>50.572406796855184</v>
      </c>
      <c r="AB13" s="171">
        <f>'Op Cost_FY2026'!E4/'Revenue Hours_FY2026'!E4</f>
        <v>47.540828402366863</v>
      </c>
      <c r="AC13" s="174">
        <f t="shared" si="8"/>
        <v>0.73994552647823897</v>
      </c>
      <c r="AD13" s="169">
        <f t="shared" si="9"/>
        <v>1.2928813559275616E-3</v>
      </c>
      <c r="AE13" s="173">
        <f t="shared" si="10"/>
        <v>1.2951789346444368E-3</v>
      </c>
      <c r="AF13" s="172">
        <f>'Op Cost_FY2026'!B4/'Revenue Miles_FY2026'!B4</f>
        <v>8.9845176742296253</v>
      </c>
      <c r="AG13" s="171">
        <f>'Op Cost_FY2026'!C4/'Revenue Miles_FY2026'!C4</f>
        <v>5.3869237994459436</v>
      </c>
      <c r="AH13" s="171">
        <f>'Op Cost_FY2026'!D4/'Revenue Miles_FY2026'!D4</f>
        <v>4.2277251863080787</v>
      </c>
      <c r="AI13" s="171">
        <f>'Op Cost_FY2026'!E4/'Revenue Miles_FY2026'!E4</f>
        <v>3.9525105768915418</v>
      </c>
      <c r="AJ13" s="174">
        <f t="shared" si="11"/>
        <v>0.74012339547458483</v>
      </c>
      <c r="AK13" s="169">
        <f t="shared" si="12"/>
        <v>1.2925706462397187E-3</v>
      </c>
      <c r="AL13" s="173">
        <f t="shared" si="13"/>
        <v>1.2947536911350006E-3</v>
      </c>
      <c r="AM13" s="172">
        <f>'Op Cost_FY2026'!B4/'Ridership-FY2026'!B4</f>
        <v>28.137088132869007</v>
      </c>
      <c r="AN13" s="171">
        <f>'Op Cost_FY2026'!C4/'Ridership-FY2026'!C4</f>
        <v>12.830345765015716</v>
      </c>
      <c r="AO13" s="171">
        <f>'Op Cost_FY2026'!D4/'Ridership-FY2026'!D4</f>
        <v>9.1132489374343031</v>
      </c>
      <c r="AP13" s="171">
        <f>'Op Cost_FY2026'!E4/'Ridership-FY2026'!E4</f>
        <v>8.4324097397145259</v>
      </c>
      <c r="AQ13" s="170">
        <f t="shared" si="14"/>
        <v>0.7687399782462182</v>
      </c>
      <c r="AR13" s="169">
        <f t="shared" si="15"/>
        <v>1.2444543053012807E-3</v>
      </c>
      <c r="AS13" s="168">
        <f t="shared" si="16"/>
        <v>1.2517243691344104E-3</v>
      </c>
      <c r="AT13" s="167"/>
      <c r="AU13" s="166">
        <f t="shared" si="17"/>
        <v>0</v>
      </c>
      <c r="AV13" s="165">
        <f t="shared" si="18"/>
        <v>0</v>
      </c>
      <c r="AW13" s="165">
        <f t="shared" si="19"/>
        <v>0</v>
      </c>
      <c r="AX13" s="165">
        <f t="shared" si="20"/>
        <v>0</v>
      </c>
      <c r="AY13" s="164">
        <f t="shared" si="21"/>
        <v>0</v>
      </c>
      <c r="AZ13" s="163">
        <f t="shared" ref="AZ13:AZ49" si="27">(SUM(AU13:AY13)-I13)/I13</f>
        <v>-1</v>
      </c>
      <c r="BA13" s="162">
        <f t="shared" si="22"/>
        <v>0</v>
      </c>
      <c r="BB13" s="161">
        <f t="shared" si="22"/>
        <v>0</v>
      </c>
      <c r="BC13" s="161">
        <f t="shared" si="22"/>
        <v>0</v>
      </c>
      <c r="BD13" s="161">
        <f t="shared" si="22"/>
        <v>0</v>
      </c>
      <c r="BE13" s="161">
        <f t="shared" si="22"/>
        <v>0</v>
      </c>
      <c r="BF13" s="160">
        <f t="shared" ref="BF13:BF49" si="28">$BA$6*I13</f>
        <v>115153.01970525114</v>
      </c>
      <c r="BH13" s="159">
        <f>'Op Cost_FY2026'!E4</f>
        <v>361548</v>
      </c>
      <c r="BI13" s="158">
        <f t="shared" si="23"/>
        <v>0.31849994939883813</v>
      </c>
      <c r="BJ13" s="157">
        <f t="shared" si="24"/>
        <v>108464.4</v>
      </c>
      <c r="BK13" s="156">
        <f t="shared" si="25"/>
        <v>6688.6197052511416</v>
      </c>
      <c r="BM13" s="548">
        <f t="shared" ref="BM13:BM49" si="29">N13/$N$50</f>
        <v>0.49715007368557296</v>
      </c>
      <c r="BN13" s="548">
        <f t="shared" ref="BN13:BN49" si="30">U13/$U$50</f>
        <v>0.58277530268745104</v>
      </c>
      <c r="BO13" s="566">
        <f t="shared" ref="BO13:BO49" si="31">(1/AP13)/(1/$AP$50)</f>
        <v>1.2982727772159184</v>
      </c>
      <c r="BP13" s="401">
        <f t="shared" si="26"/>
        <v>0</v>
      </c>
      <c r="BQ13" s="551">
        <f t="shared" ref="BQ13:BQ49" si="32">(BM13*$BP$8+BN13*$BQ$8+BO13*$BR$8)*I13</f>
        <v>8.7928480213826492E-4</v>
      </c>
      <c r="BR13" s="552">
        <f t="shared" ref="BR13:BR49" si="33">IF(BP13=0,0,BQ13)</f>
        <v>0</v>
      </c>
      <c r="BS13" s="553">
        <f t="shared" ref="BS13:BS49" si="34">BR13/$BR$50</f>
        <v>0</v>
      </c>
      <c r="BT13" s="540">
        <f t="shared" ref="BT13:BT49" si="35">$BP$6*BS13+BJ13</f>
        <v>108464.4</v>
      </c>
      <c r="BU13" s="540">
        <f t="shared" ref="BU13:BU49" si="36">BH13*$BU$6</f>
        <v>108464.4</v>
      </c>
      <c r="BV13" s="540">
        <f t="shared" ref="BV13:BV49" si="37">IF(BT13&lt;BU13,BT13, BU13)</f>
        <v>108464.4</v>
      </c>
      <c r="BW13" s="540">
        <f>BT13-BV13</f>
        <v>0</v>
      </c>
      <c r="BX13" s="541">
        <f t="shared" ref="BX13:BX49" si="38">IF(AND(BW13=0,BK13=0),BR13,0)</f>
        <v>0</v>
      </c>
      <c r="BY13" s="542">
        <f t="shared" ref="BY13:BY49" si="39">BX13/$BX$50</f>
        <v>0</v>
      </c>
      <c r="BZ13" s="563">
        <f t="shared" ref="BZ13:BZ49" si="40">$BW$50*BY13+BV13</f>
        <v>108464.4</v>
      </c>
      <c r="CC13" s="147"/>
    </row>
    <row r="14" spans="1:81">
      <c r="A14" s="181" t="s">
        <v>49</v>
      </c>
      <c r="B14" s="180" t="s">
        <v>62</v>
      </c>
      <c r="C14" s="144"/>
      <c r="D14" s="179">
        <f>'Sizing - Reim Expen_FY2026'!B5</f>
        <v>2998198</v>
      </c>
      <c r="E14" s="178">
        <f>'Ridership-FY2026'!$E5</f>
        <v>177659</v>
      </c>
      <c r="F14" s="178">
        <f>'Revenue Hours_FY2026'!$E5</f>
        <v>48302</v>
      </c>
      <c r="G14" s="178">
        <f>'Revenue Miles_FY2026'!$E5</f>
        <v>522054</v>
      </c>
      <c r="H14" s="182">
        <f t="shared" si="0"/>
        <v>5.7501967164149655E-3</v>
      </c>
      <c r="I14" s="176">
        <f t="shared" si="1"/>
        <v>5.7501967164149655E-3</v>
      </c>
      <c r="J14" s="167"/>
      <c r="K14" s="175">
        <f>'Ridership-FY2026'!B5/'Revenue Hours_FY2026'!B5</f>
        <v>3.0037184124655352</v>
      </c>
      <c r="L14" s="171">
        <f>'Ridership-FY2026'!C5/'Revenue Hours_FY2026'!C5</f>
        <v>3.0190503841343577</v>
      </c>
      <c r="M14" s="171">
        <f>'Ridership-FY2026'!D5/'Revenue Hours_FY2026'!D5</f>
        <v>3.4820277878872212</v>
      </c>
      <c r="N14" s="171">
        <f>'Ridership-FY2026'!E5/'Revenue Hours_FY2026'!E5</f>
        <v>3.6780878638565691</v>
      </c>
      <c r="O14" s="174">
        <f t="shared" si="2"/>
        <v>0.91361537754777933</v>
      </c>
      <c r="P14" s="169">
        <f t="shared" si="3"/>
        <v>5.25346814404146E-3</v>
      </c>
      <c r="Q14" s="173">
        <f t="shared" si="4"/>
        <v>5.0774420315869073E-3</v>
      </c>
      <c r="R14" s="172">
        <f>'Ridership-FY2026'!B5/'Revenue Miles_FY2026'!B5</f>
        <v>0.30898734605406614</v>
      </c>
      <c r="S14" s="171">
        <f>'Ridership-FY2026'!C5/'Revenue Miles_FY2026'!C5</f>
        <v>0.30702858129224508</v>
      </c>
      <c r="T14" s="171">
        <f>'Ridership-FY2026'!D5/'Revenue Miles_FY2026'!D5</f>
        <v>0.33183650652455993</v>
      </c>
      <c r="U14" s="171">
        <f>'Ridership-FY2026'!E5/'Revenue Miles_FY2026'!E5</f>
        <v>0.34030770763177753</v>
      </c>
      <c r="V14" s="174">
        <f t="shared" si="5"/>
        <v>0.8841756096309652</v>
      </c>
      <c r="W14" s="169">
        <f t="shared" si="6"/>
        <v>5.0841836872341766E-3</v>
      </c>
      <c r="X14" s="173">
        <f t="shared" si="7"/>
        <v>4.9207007430315704E-3</v>
      </c>
      <c r="Y14" s="172">
        <f>'Op Cost_FY2026'!B5/'Revenue Hours_FY2026'!B5</f>
        <v>61.145979308425872</v>
      </c>
      <c r="Z14" s="171">
        <f>'Op Cost_FY2026'!C5/'Revenue Hours_FY2026'!C5</f>
        <v>58.62645167053779</v>
      </c>
      <c r="AA14" s="171">
        <f>'Op Cost_FY2026'!D5/'Revenue Hours_FY2026'!D5</f>
        <v>57.842499625355913</v>
      </c>
      <c r="AB14" s="171">
        <f>'Op Cost_FY2026'!E5/'Revenue Hours_FY2026'!E5</f>
        <v>62.071922487681668</v>
      </c>
      <c r="AC14" s="174">
        <f t="shared" si="8"/>
        <v>0.96211447539197736</v>
      </c>
      <c r="AD14" s="169">
        <f t="shared" si="9"/>
        <v>5.976624261964528E-3</v>
      </c>
      <c r="AE14" s="173">
        <f t="shared" si="10"/>
        <v>5.9872453175162177E-3</v>
      </c>
      <c r="AF14" s="172">
        <f>'Op Cost_FY2026'!B5/'Revenue Miles_FY2026'!B5</f>
        <v>6.2899817073329398</v>
      </c>
      <c r="AG14" s="171">
        <f>'Op Cost_FY2026'!C5/'Revenue Miles_FY2026'!C5</f>
        <v>5.9621384184897162</v>
      </c>
      <c r="AH14" s="171">
        <f>'Op Cost_FY2026'!D5/'Revenue Miles_FY2026'!D5</f>
        <v>5.5123778940238459</v>
      </c>
      <c r="AI14" s="171">
        <f>'Op Cost_FY2026'!E5/'Revenue Miles_FY2026'!E5</f>
        <v>5.7430802177552511</v>
      </c>
      <c r="AJ14" s="174">
        <f t="shared" si="11"/>
        <v>0.93411840641972699</v>
      </c>
      <c r="AK14" s="169">
        <f t="shared" si="12"/>
        <v>6.1557471482167033E-3</v>
      </c>
      <c r="AL14" s="173">
        <f t="shared" si="13"/>
        <v>6.166143695923906E-3</v>
      </c>
      <c r="AM14" s="172">
        <f>'Op Cost_FY2026'!B5/'Ridership-FY2026'!B5</f>
        <v>20.356761490913378</v>
      </c>
      <c r="AN14" s="171">
        <f>'Op Cost_FY2026'!C5/'Ridership-FY2026'!C5</f>
        <v>19.418838446231348</v>
      </c>
      <c r="AO14" s="171">
        <f>'Op Cost_FY2026'!D5/'Ridership-FY2026'!D5</f>
        <v>16.611728322953109</v>
      </c>
      <c r="AP14" s="171">
        <f>'Op Cost_FY2026'!E5/'Ridership-FY2026'!E5</f>
        <v>16.876139120449849</v>
      </c>
      <c r="AQ14" s="170">
        <f t="shared" si="14"/>
        <v>1.0632527411646482</v>
      </c>
      <c r="AR14" s="169">
        <f t="shared" si="15"/>
        <v>5.4081184028892419E-3</v>
      </c>
      <c r="AS14" s="168">
        <f t="shared" si="16"/>
        <v>5.4397124645101788E-3</v>
      </c>
      <c r="AT14" s="167"/>
      <c r="AU14" s="166">
        <f t="shared" si="17"/>
        <v>0</v>
      </c>
      <c r="AV14" s="165">
        <f t="shared" si="18"/>
        <v>0</v>
      </c>
      <c r="AW14" s="165">
        <f t="shared" si="19"/>
        <v>0</v>
      </c>
      <c r="AX14" s="165">
        <f t="shared" si="20"/>
        <v>0</v>
      </c>
      <c r="AY14" s="164">
        <f t="shared" si="21"/>
        <v>0</v>
      </c>
      <c r="AZ14" s="163">
        <f t="shared" si="27"/>
        <v>-1</v>
      </c>
      <c r="BA14" s="162">
        <f t="shared" si="22"/>
        <v>0</v>
      </c>
      <c r="BB14" s="161">
        <f t="shared" si="22"/>
        <v>0</v>
      </c>
      <c r="BC14" s="161">
        <f t="shared" si="22"/>
        <v>0</v>
      </c>
      <c r="BD14" s="161">
        <f t="shared" si="22"/>
        <v>0</v>
      </c>
      <c r="BE14" s="161">
        <f t="shared" si="22"/>
        <v>0</v>
      </c>
      <c r="BF14" s="160">
        <f t="shared" si="28"/>
        <v>692149.02559370897</v>
      </c>
      <c r="BH14" s="159">
        <f>'Op Cost_FY2026'!E5</f>
        <v>2998198</v>
      </c>
      <c r="BI14" s="158">
        <f t="shared" si="23"/>
        <v>0.23085500877317275</v>
      </c>
      <c r="BJ14" s="157">
        <f t="shared" si="24"/>
        <v>692149.02559370897</v>
      </c>
      <c r="BK14" s="156">
        <f t="shared" si="25"/>
        <v>0</v>
      </c>
      <c r="BM14" s="548">
        <f t="shared" si="29"/>
        <v>0.32433555759757926</v>
      </c>
      <c r="BN14" s="548">
        <f t="shared" si="30"/>
        <v>0.42310833871918174</v>
      </c>
      <c r="BO14" s="566">
        <f t="shared" si="31"/>
        <v>0.6487009815020961</v>
      </c>
      <c r="BP14" s="401">
        <f t="shared" si="26"/>
        <v>692149.02559370897</v>
      </c>
      <c r="BQ14" s="551">
        <f t="shared" si="32"/>
        <v>2.9395664864605205E-3</v>
      </c>
      <c r="BR14" s="552">
        <f t="shared" si="33"/>
        <v>2.9395664864605205E-3</v>
      </c>
      <c r="BS14" s="553">
        <f t="shared" si="34"/>
        <v>3.0908689912287528E-3</v>
      </c>
      <c r="BT14" s="540">
        <f t="shared" si="35"/>
        <v>715282.18526426761</v>
      </c>
      <c r="BU14" s="540">
        <f t="shared" si="36"/>
        <v>899459.4</v>
      </c>
      <c r="BV14" s="540">
        <f t="shared" si="37"/>
        <v>715282.18526426761</v>
      </c>
      <c r="BW14" s="540">
        <f t="shared" ref="BW14:BW49" si="41">BT14-BV14</f>
        <v>0</v>
      </c>
      <c r="BX14" s="541">
        <f t="shared" si="38"/>
        <v>2.9395664864605205E-3</v>
      </c>
      <c r="BY14" s="542">
        <f t="shared" si="39"/>
        <v>3.3283853070435686E-3</v>
      </c>
      <c r="BZ14" s="563">
        <f t="shared" si="40"/>
        <v>716205.94916366553</v>
      </c>
      <c r="CC14" s="147"/>
    </row>
    <row r="15" spans="1:81">
      <c r="A15" s="181" t="s">
        <v>49</v>
      </c>
      <c r="B15" s="180" t="s">
        <v>63</v>
      </c>
      <c r="C15" s="144"/>
      <c r="D15" s="179">
        <f>'Sizing - Reim Expen_FY2026'!B6</f>
        <v>2083701</v>
      </c>
      <c r="E15" s="178">
        <f>'Ridership-FY2026'!$E6</f>
        <v>130896</v>
      </c>
      <c r="F15" s="178">
        <f>'Revenue Hours_FY2026'!$E6</f>
        <v>44163</v>
      </c>
      <c r="G15" s="178">
        <f>'Revenue Miles_FY2026'!$E6</f>
        <v>745438</v>
      </c>
      <c r="H15" s="182">
        <f t="shared" si="0"/>
        <v>5.2540604590085088E-3</v>
      </c>
      <c r="I15" s="176">
        <f t="shared" si="1"/>
        <v>5.2540604590085088E-3</v>
      </c>
      <c r="J15" s="167"/>
      <c r="K15" s="175">
        <f>'Ridership-FY2026'!B6/'Revenue Hours_FY2026'!B6</f>
        <v>1.3455313359222201</v>
      </c>
      <c r="L15" s="171">
        <f>'Ridership-FY2026'!C6/'Revenue Hours_FY2026'!C6</f>
        <v>2.5156324194636741</v>
      </c>
      <c r="M15" s="171">
        <f>'Ridership-FY2026'!D6/'Revenue Hours_FY2026'!D6</f>
        <v>2.7827345119658662</v>
      </c>
      <c r="N15" s="171">
        <f>'Ridership-FY2026'!E6/'Revenue Hours_FY2026'!E6</f>
        <v>2.9639290809048298</v>
      </c>
      <c r="O15" s="174">
        <f t="shared" si="2"/>
        <v>1.1279060361303517</v>
      </c>
      <c r="P15" s="169">
        <f t="shared" si="3"/>
        <v>5.9260865059095032E-3</v>
      </c>
      <c r="Q15" s="173">
        <f t="shared" si="4"/>
        <v>5.7275232061800132E-3</v>
      </c>
      <c r="R15" s="172">
        <f>'Ridership-FY2026'!B6/'Revenue Miles_FY2026'!B6</f>
        <v>8.6154544217069737E-2</v>
      </c>
      <c r="S15" s="171">
        <f>'Ridership-FY2026'!C6/'Revenue Miles_FY2026'!C6</f>
        <v>0.15736959607772016</v>
      </c>
      <c r="T15" s="171">
        <f>'Ridership-FY2026'!D6/'Revenue Miles_FY2026'!D6</f>
        <v>0.16460220997236286</v>
      </c>
      <c r="U15" s="171">
        <f>'Ridership-FY2026'!E6/'Revenue Miles_FY2026'!E6</f>
        <v>0.17559609249863839</v>
      </c>
      <c r="V15" s="174">
        <f t="shared" si="5"/>
        <v>1.108030754011484</v>
      </c>
      <c r="W15" s="169">
        <f t="shared" si="6"/>
        <v>5.8216605720171214E-3</v>
      </c>
      <c r="X15" s="173">
        <f t="shared" si="7"/>
        <v>5.6344639109579811E-3</v>
      </c>
      <c r="Y15" s="172">
        <f>'Op Cost_FY2026'!B6/'Revenue Hours_FY2026'!B6</f>
        <v>42.25856741971144</v>
      </c>
      <c r="Z15" s="171">
        <f>'Op Cost_FY2026'!C6/'Revenue Hours_FY2026'!C6</f>
        <v>54.154224876915002</v>
      </c>
      <c r="AA15" s="171">
        <f>'Op Cost_FY2026'!D6/'Revenue Hours_FY2026'!D6</f>
        <v>45.459899034704179</v>
      </c>
      <c r="AB15" s="171">
        <f>'Op Cost_FY2026'!E6/'Revenue Hours_FY2026'!E6</f>
        <v>48.817313135430112</v>
      </c>
      <c r="AC15" s="174">
        <f t="shared" si="8"/>
        <v>1.024095279002766</v>
      </c>
      <c r="AD15" s="169">
        <f t="shared" si="9"/>
        <v>5.1304410504897152E-3</v>
      </c>
      <c r="AE15" s="173">
        <f t="shared" si="10"/>
        <v>5.1395583543411049E-3</v>
      </c>
      <c r="AF15" s="172">
        <f>'Op Cost_FY2026'!B6/'Revenue Miles_FY2026'!B6</f>
        <v>2.7058214982530968</v>
      </c>
      <c r="AG15" s="171">
        <f>'Op Cost_FY2026'!C6/'Revenue Miles_FY2026'!C6</f>
        <v>3.3877081678725758</v>
      </c>
      <c r="AH15" s="171">
        <f>'Op Cost_FY2026'!D6/'Revenue Miles_FY2026'!D6</f>
        <v>2.689009610531103</v>
      </c>
      <c r="AI15" s="171">
        <f>'Op Cost_FY2026'!E6/'Revenue Miles_FY2026'!E6</f>
        <v>2.8921506550511245</v>
      </c>
      <c r="AJ15" s="174">
        <f t="shared" si="11"/>
        <v>1.0075978281171294</v>
      </c>
      <c r="AK15" s="169">
        <f t="shared" si="12"/>
        <v>5.2144420247775131E-3</v>
      </c>
      <c r="AL15" s="173">
        <f t="shared" si="13"/>
        <v>5.2232487859994632E-3</v>
      </c>
      <c r="AM15" s="172">
        <f>'Op Cost_FY2026'!B6/'Ridership-FY2026'!B6</f>
        <v>31.406602203543365</v>
      </c>
      <c r="AN15" s="171">
        <f>'Op Cost_FY2026'!C6/'Ridership-FY2026'!C6</f>
        <v>21.527081801744522</v>
      </c>
      <c r="AO15" s="171">
        <f>'Op Cost_FY2026'!D6/'Ridership-FY2026'!D6</f>
        <v>16.33641256081917</v>
      </c>
      <c r="AP15" s="171">
        <f>'Op Cost_FY2026'!E6/'Ridership-FY2026'!E6</f>
        <v>16.470472741718616</v>
      </c>
      <c r="AQ15" s="170">
        <f t="shared" si="14"/>
        <v>0.91200498953668374</v>
      </c>
      <c r="AR15" s="169">
        <f t="shared" si="15"/>
        <v>5.7609996867206536E-3</v>
      </c>
      <c r="AS15" s="168">
        <f t="shared" si="16"/>
        <v>5.7946552699643947E-3</v>
      </c>
      <c r="AT15" s="167"/>
      <c r="AU15" s="166">
        <f t="shared" si="17"/>
        <v>0</v>
      </c>
      <c r="AV15" s="165">
        <f t="shared" si="18"/>
        <v>0</v>
      </c>
      <c r="AW15" s="165">
        <f t="shared" si="19"/>
        <v>0</v>
      </c>
      <c r="AX15" s="165">
        <f t="shared" si="20"/>
        <v>0</v>
      </c>
      <c r="AY15" s="164">
        <f t="shared" si="21"/>
        <v>0</v>
      </c>
      <c r="AZ15" s="163">
        <f t="shared" si="27"/>
        <v>-1</v>
      </c>
      <c r="BA15" s="162">
        <f t="shared" si="22"/>
        <v>0</v>
      </c>
      <c r="BB15" s="161">
        <f t="shared" si="22"/>
        <v>0</v>
      </c>
      <c r="BC15" s="161">
        <f t="shared" si="22"/>
        <v>0</v>
      </c>
      <c r="BD15" s="161">
        <f t="shared" si="22"/>
        <v>0</v>
      </c>
      <c r="BE15" s="161">
        <f t="shared" si="22"/>
        <v>0</v>
      </c>
      <c r="BF15" s="160">
        <f t="shared" si="28"/>
        <v>632429.29006791534</v>
      </c>
      <c r="BH15" s="159">
        <f>'Op Cost_FY2026'!E6</f>
        <v>2155919</v>
      </c>
      <c r="BI15" s="158">
        <f t="shared" si="23"/>
        <v>0.29334557099219188</v>
      </c>
      <c r="BJ15" s="157">
        <f t="shared" si="24"/>
        <v>632429.29006791534</v>
      </c>
      <c r="BK15" s="156">
        <f t="shared" si="25"/>
        <v>0</v>
      </c>
      <c r="BM15" s="548">
        <f t="shared" si="29"/>
        <v>0.26136069248954619</v>
      </c>
      <c r="BN15" s="548">
        <f t="shared" si="30"/>
        <v>0.21832056493727492</v>
      </c>
      <c r="BO15" s="566">
        <f t="shared" si="31"/>
        <v>0.66467843291906692</v>
      </c>
      <c r="BP15" s="401">
        <f t="shared" si="26"/>
        <v>632429.29006791534</v>
      </c>
      <c r="BQ15" s="551">
        <f t="shared" si="32"/>
        <v>2.3761989180713398E-3</v>
      </c>
      <c r="BR15" s="552">
        <f t="shared" si="33"/>
        <v>2.3761989180713398E-3</v>
      </c>
      <c r="BS15" s="553">
        <f t="shared" si="34"/>
        <v>2.4985043157507965E-3</v>
      </c>
      <c r="BT15" s="540">
        <f t="shared" si="35"/>
        <v>651128.98243205715</v>
      </c>
      <c r="BU15" s="540">
        <f t="shared" si="36"/>
        <v>646775.69999999995</v>
      </c>
      <c r="BV15" s="540">
        <f t="shared" si="37"/>
        <v>646775.69999999995</v>
      </c>
      <c r="BW15" s="540">
        <f t="shared" si="41"/>
        <v>4353.2824320571963</v>
      </c>
      <c r="BX15" s="541">
        <f t="shared" si="38"/>
        <v>0</v>
      </c>
      <c r="BY15" s="542">
        <f t="shared" si="39"/>
        <v>0</v>
      </c>
      <c r="BZ15" s="563">
        <f t="shared" si="40"/>
        <v>646775.69999999995</v>
      </c>
      <c r="CC15" s="147"/>
    </row>
    <row r="16" spans="1:81">
      <c r="A16" s="181" t="s">
        <v>49</v>
      </c>
      <c r="B16" s="180" t="s">
        <v>64</v>
      </c>
      <c r="C16" s="144"/>
      <c r="D16" s="179">
        <f>'Sizing - Reim Expen_FY2026'!B7</f>
        <v>447645</v>
      </c>
      <c r="E16" s="178">
        <f>'Ridership-FY2026'!$E7</f>
        <v>33235</v>
      </c>
      <c r="F16" s="178">
        <f>'Revenue Hours_FY2026'!$E7</f>
        <v>8168</v>
      </c>
      <c r="G16" s="178">
        <f>'Revenue Miles_FY2026'!$E7</f>
        <v>126970</v>
      </c>
      <c r="H16" s="182">
        <f t="shared" si="0"/>
        <v>1.0447956855099765E-3</v>
      </c>
      <c r="I16" s="176">
        <f t="shared" si="1"/>
        <v>1.0447956855099765E-3</v>
      </c>
      <c r="J16" s="167"/>
      <c r="K16" s="175">
        <f>'Ridership-FY2026'!B7/'Revenue Hours_FY2026'!B7</f>
        <v>3.8071505958829901</v>
      </c>
      <c r="L16" s="171">
        <f>'Ridership-FY2026'!C7/'Revenue Hours_FY2026'!C7</f>
        <v>3.650582779796967</v>
      </c>
      <c r="M16" s="171">
        <f>'Ridership-FY2026'!D7/'Revenue Hours_FY2026'!D7</f>
        <v>3.815299877600979</v>
      </c>
      <c r="N16" s="171">
        <f>'Ridership-FY2026'!E7/'Revenue Hours_FY2026'!E7</f>
        <v>4.0689275220372183</v>
      </c>
      <c r="O16" s="174">
        <f t="shared" si="2"/>
        <v>0.87439593763301104</v>
      </c>
      <c r="P16" s="169">
        <f t="shared" si="3"/>
        <v>9.135651030664205E-4</v>
      </c>
      <c r="Q16" s="173">
        <f t="shared" si="4"/>
        <v>8.8295459793766686E-4</v>
      </c>
      <c r="R16" s="172">
        <f>'Ridership-FY2026'!B7/'Revenue Miles_FY2026'!B7</f>
        <v>0.2437813629741542</v>
      </c>
      <c r="S16" s="171">
        <f>'Ridership-FY2026'!C7/'Revenue Miles_FY2026'!C7</f>
        <v>0.22496138399752857</v>
      </c>
      <c r="T16" s="171">
        <f>'Ridership-FY2026'!D7/'Revenue Miles_FY2026'!D7</f>
        <v>0.23446890772737189</v>
      </c>
      <c r="U16" s="171">
        <f>'Ridership-FY2026'!E7/'Revenue Miles_FY2026'!E7</f>
        <v>0.2617547452154052</v>
      </c>
      <c r="V16" s="174">
        <f t="shared" si="5"/>
        <v>0.88282330624614769</v>
      </c>
      <c r="W16" s="169">
        <f t="shared" si="6"/>
        <v>9.2236998143362787E-4</v>
      </c>
      <c r="X16" s="173">
        <f t="shared" si="7"/>
        <v>8.9271099004283798E-4</v>
      </c>
      <c r="Y16" s="172">
        <f>'Op Cost_FY2026'!B7/'Revenue Hours_FY2026'!B7</f>
        <v>43.683519922956542</v>
      </c>
      <c r="Z16" s="171">
        <f>'Op Cost_FY2026'!C7/'Revenue Hours_FY2026'!C7</f>
        <v>59.664118310565236</v>
      </c>
      <c r="AA16" s="171">
        <f>'Op Cost_FY2026'!D7/'Revenue Hours_FY2026'!D7</f>
        <v>55.822399020807836</v>
      </c>
      <c r="AB16" s="171">
        <f>'Op Cost_FY2026'!E7/'Revenue Hours_FY2026'!E7</f>
        <v>54.804725759059743</v>
      </c>
      <c r="AC16" s="174">
        <f t="shared" si="8"/>
        <v>1.0516045914118244</v>
      </c>
      <c r="AD16" s="169">
        <f t="shared" si="9"/>
        <v>9.935252223531026E-4</v>
      </c>
      <c r="AE16" s="173">
        <f t="shared" si="10"/>
        <v>9.9529081545651592E-4</v>
      </c>
      <c r="AF16" s="172">
        <f>'Op Cost_FY2026'!B7/'Revenue Miles_FY2026'!B7</f>
        <v>2.7971649027603269</v>
      </c>
      <c r="AG16" s="171">
        <f>'Op Cost_FY2026'!C7/'Revenue Miles_FY2026'!C7</f>
        <v>3.6767068273092369</v>
      </c>
      <c r="AH16" s="171">
        <f>'Op Cost_FY2026'!D7/'Revenue Miles_FY2026'!D7</f>
        <v>3.4305604657635227</v>
      </c>
      <c r="AI16" s="171">
        <f>'Op Cost_FY2026'!E7/'Revenue Miles_FY2026'!E7</f>
        <v>3.5255965976214854</v>
      </c>
      <c r="AJ16" s="174">
        <f t="shared" si="11"/>
        <v>1.0555482262779829</v>
      </c>
      <c r="AK16" s="169">
        <f t="shared" si="12"/>
        <v>9.8981331169877332E-4</v>
      </c>
      <c r="AL16" s="173">
        <f t="shared" si="13"/>
        <v>9.9148502450122035E-4</v>
      </c>
      <c r="AM16" s="172">
        <f>'Op Cost_FY2026'!B7/'Ridership-FY2026'!B7</f>
        <v>11.474071966103839</v>
      </c>
      <c r="AN16" s="171">
        <f>'Op Cost_FY2026'!C7/'Ridership-FY2026'!C7</f>
        <v>16.343724251579236</v>
      </c>
      <c r="AO16" s="171">
        <f>'Op Cost_FY2026'!D7/'Ridership-FY2026'!D7</f>
        <v>14.631195662635141</v>
      </c>
      <c r="AP16" s="171">
        <f>'Op Cost_FY2026'!E7/'Ridership-FY2026'!E7</f>
        <v>13.469083797201746</v>
      </c>
      <c r="AQ16" s="170">
        <f t="shared" si="14"/>
        <v>1.2439563207545858</v>
      </c>
      <c r="AR16" s="169">
        <f t="shared" si="15"/>
        <v>8.398974048190067E-4</v>
      </c>
      <c r="AS16" s="168">
        <f t="shared" si="16"/>
        <v>8.4480405966386727E-4</v>
      </c>
      <c r="AT16" s="167"/>
      <c r="AU16" s="166">
        <f t="shared" si="17"/>
        <v>0</v>
      </c>
      <c r="AV16" s="165">
        <f t="shared" si="18"/>
        <v>0</v>
      </c>
      <c r="AW16" s="165">
        <f t="shared" si="19"/>
        <v>0</v>
      </c>
      <c r="AX16" s="165">
        <f t="shared" si="20"/>
        <v>0</v>
      </c>
      <c r="AY16" s="164">
        <f t="shared" si="21"/>
        <v>0</v>
      </c>
      <c r="AZ16" s="163">
        <f t="shared" si="27"/>
        <v>-1</v>
      </c>
      <c r="BA16" s="162">
        <f t="shared" si="22"/>
        <v>0</v>
      </c>
      <c r="BB16" s="161">
        <f t="shared" si="22"/>
        <v>0</v>
      </c>
      <c r="BC16" s="161">
        <f t="shared" si="22"/>
        <v>0</v>
      </c>
      <c r="BD16" s="161">
        <f t="shared" si="22"/>
        <v>0</v>
      </c>
      <c r="BE16" s="161">
        <f t="shared" si="22"/>
        <v>0</v>
      </c>
      <c r="BF16" s="160">
        <f t="shared" si="28"/>
        <v>125761.66544109143</v>
      </c>
      <c r="BH16" s="159">
        <f>'Op Cost_FY2026'!E7</f>
        <v>447645</v>
      </c>
      <c r="BI16" s="158">
        <f t="shared" si="23"/>
        <v>0.2809406235769224</v>
      </c>
      <c r="BJ16" s="157">
        <f t="shared" si="24"/>
        <v>125761.66544109143</v>
      </c>
      <c r="BK16" s="156">
        <f t="shared" si="25"/>
        <v>0</v>
      </c>
      <c r="BM16" s="548">
        <f t="shared" si="29"/>
        <v>0.35879998671384128</v>
      </c>
      <c r="BN16" s="548">
        <f t="shared" si="30"/>
        <v>0.32544257128547921</v>
      </c>
      <c r="BO16" s="566">
        <f t="shared" si="31"/>
        <v>0.81279233066143208</v>
      </c>
      <c r="BP16" s="401">
        <f t="shared" si="26"/>
        <v>125761.66544109143</v>
      </c>
      <c r="BQ16" s="551">
        <f t="shared" si="32"/>
        <v>6.0332437825533127E-4</v>
      </c>
      <c r="BR16" s="552">
        <f t="shared" si="33"/>
        <v>6.0332437825533127E-4</v>
      </c>
      <c r="BS16" s="553">
        <f t="shared" si="34"/>
        <v>6.3437810336691464E-4</v>
      </c>
      <c r="BT16" s="540">
        <f t="shared" si="35"/>
        <v>130509.57614139549</v>
      </c>
      <c r="BU16" s="540">
        <f t="shared" si="36"/>
        <v>134293.5</v>
      </c>
      <c r="BV16" s="540">
        <f t="shared" si="37"/>
        <v>130509.57614139549</v>
      </c>
      <c r="BW16" s="540">
        <f t="shared" si="41"/>
        <v>0</v>
      </c>
      <c r="BX16" s="541">
        <f t="shared" si="38"/>
        <v>6.0332437825533127E-4</v>
      </c>
      <c r="BY16" s="542">
        <f t="shared" si="39"/>
        <v>6.8312657843100984E-4</v>
      </c>
      <c r="BZ16" s="563">
        <f t="shared" si="40"/>
        <v>130699.17188036787</v>
      </c>
      <c r="CC16" s="147"/>
    </row>
    <row r="17" spans="1:81">
      <c r="A17" s="181" t="s">
        <v>50</v>
      </c>
      <c r="B17" s="180" t="s">
        <v>65</v>
      </c>
      <c r="C17" s="144"/>
      <c r="D17" s="179">
        <f>'Sizing - Reim Expen_FY2026'!B8</f>
        <v>14466572</v>
      </c>
      <c r="E17" s="178">
        <f>'Ridership-FY2026'!$E8</f>
        <v>1476869</v>
      </c>
      <c r="F17" s="178">
        <f>'Revenue Hours_FY2026'!$E8</f>
        <v>128069</v>
      </c>
      <c r="G17" s="178">
        <f>'Revenue Miles_FY2026'!$E8</f>
        <v>1380275</v>
      </c>
      <c r="H17" s="182">
        <f t="shared" si="0"/>
        <v>2.5878783272557937E-2</v>
      </c>
      <c r="I17" s="176">
        <f t="shared" si="1"/>
        <v>2.5878783272557937E-2</v>
      </c>
      <c r="J17" s="167"/>
      <c r="K17" s="175">
        <f>'Ridership-FY2026'!B8/'Revenue Hours_FY2026'!B8</f>
        <v>6.5903135821469796</v>
      </c>
      <c r="L17" s="171">
        <f>'Ridership-FY2026'!C8/'Revenue Hours_FY2026'!C8</f>
        <v>13.15305492915798</v>
      </c>
      <c r="M17" s="171">
        <f>'Ridership-FY2026'!D8/'Revenue Hours_FY2026'!D8</f>
        <v>10.956321576014718</v>
      </c>
      <c r="N17" s="171">
        <f>'Ridership-FY2026'!E8/'Revenue Hours_FY2026'!E8</f>
        <v>11.531822689331532</v>
      </c>
      <c r="O17" s="174">
        <f t="shared" si="2"/>
        <v>1.0801586609984979</v>
      </c>
      <c r="P17" s="169">
        <f t="shared" si="3"/>
        <v>2.7953191887956506E-2</v>
      </c>
      <c r="Q17" s="173">
        <f t="shared" si="4"/>
        <v>2.7016574102558113E-2</v>
      </c>
      <c r="R17" s="172">
        <f>'Ridership-FY2026'!B8/'Revenue Miles_FY2026'!B8</f>
        <v>0.65665071513529727</v>
      </c>
      <c r="S17" s="171">
        <f>'Ridership-FY2026'!C8/'Revenue Miles_FY2026'!C8</f>
        <v>1.0437083935072138</v>
      </c>
      <c r="T17" s="171">
        <f>'Ridership-FY2026'!D8/'Revenue Miles_FY2026'!D8</f>
        <v>1.0015167534877283</v>
      </c>
      <c r="U17" s="171">
        <f>'Ridership-FY2026'!E8/'Revenue Miles_FY2026'!E8</f>
        <v>1.0699817065439858</v>
      </c>
      <c r="V17" s="174">
        <f t="shared" si="5"/>
        <v>1.0214923032337606</v>
      </c>
      <c r="W17" s="169">
        <f t="shared" si="6"/>
        <v>2.6434977929972524E-2</v>
      </c>
      <c r="X17" s="173">
        <f t="shared" si="7"/>
        <v>2.5584955922944325E-2</v>
      </c>
      <c r="Y17" s="172">
        <f>'Op Cost_FY2026'!B8/'Revenue Hours_FY2026'!B8</f>
        <v>123.85324163139668</v>
      </c>
      <c r="Z17" s="171">
        <f>'Op Cost_FY2026'!C8/'Revenue Hours_FY2026'!C8</f>
        <v>137.78897374803216</v>
      </c>
      <c r="AA17" s="171">
        <f>'Op Cost_FY2026'!D8/'Revenue Hours_FY2026'!D8</f>
        <v>129.86446660739594</v>
      </c>
      <c r="AB17" s="171">
        <f>'Op Cost_FY2026'!E8/'Revenue Hours_FY2026'!E8</f>
        <v>113.07535781492788</v>
      </c>
      <c r="AC17" s="174">
        <f t="shared" si="8"/>
        <v>0.93434210903999049</v>
      </c>
      <c r="AD17" s="169">
        <f t="shared" si="9"/>
        <v>2.7697331654192102E-2</v>
      </c>
      <c r="AE17" s="173">
        <f t="shared" si="10"/>
        <v>2.7746552566405857E-2</v>
      </c>
      <c r="AF17" s="172">
        <f>'Op Cost_FY2026'!B8/'Revenue Miles_FY2026'!B8</f>
        <v>12.340584203670993</v>
      </c>
      <c r="AG17" s="171">
        <f>'Op Cost_FY2026'!C8/'Revenue Miles_FY2026'!C8</f>
        <v>10.933696332002826</v>
      </c>
      <c r="AH17" s="171">
        <f>'Op Cost_FY2026'!D8/'Revenue Miles_FY2026'!D8</f>
        <v>11.870903759778434</v>
      </c>
      <c r="AI17" s="171">
        <f>'Op Cost_FY2026'!E8/'Revenue Miles_FY2026'!E8</f>
        <v>10.491712158808934</v>
      </c>
      <c r="AJ17" s="174">
        <f t="shared" si="11"/>
        <v>0.91149178626529148</v>
      </c>
      <c r="AK17" s="169">
        <f t="shared" si="12"/>
        <v>2.8391680169266898E-2</v>
      </c>
      <c r="AL17" s="173">
        <f t="shared" si="13"/>
        <v>2.8439631368408165E-2</v>
      </c>
      <c r="AM17" s="172">
        <f>'Op Cost_FY2026'!B8/'Ridership-FY2026'!B8</f>
        <v>18.793224341693318</v>
      </c>
      <c r="AN17" s="171">
        <f>'Op Cost_FY2026'!C8/'Ridership-FY2026'!C8</f>
        <v>10.475815275626847</v>
      </c>
      <c r="AO17" s="171">
        <f>'Op Cost_FY2026'!D8/'Ridership-FY2026'!D8</f>
        <v>11.852925793241749</v>
      </c>
      <c r="AP17" s="171">
        <f>'Op Cost_FY2026'!E8/'Ridership-FY2026'!E8</f>
        <v>9.8055061078538444</v>
      </c>
      <c r="AQ17" s="174">
        <f t="shared" si="14"/>
        <v>0.93027130136651037</v>
      </c>
      <c r="AR17" s="169">
        <f t="shared" si="15"/>
        <v>2.7818533404764419E-2</v>
      </c>
      <c r="AS17" s="168">
        <f t="shared" si="16"/>
        <v>2.7981048422579979E-2</v>
      </c>
      <c r="AT17" s="167"/>
      <c r="AU17" s="166">
        <f t="shared" si="17"/>
        <v>0</v>
      </c>
      <c r="AV17" s="165">
        <f t="shared" si="18"/>
        <v>0</v>
      </c>
      <c r="AW17" s="165">
        <f t="shared" si="19"/>
        <v>0</v>
      </c>
      <c r="AX17" s="165">
        <f t="shared" si="20"/>
        <v>0</v>
      </c>
      <c r="AY17" s="164">
        <f t="shared" si="21"/>
        <v>0</v>
      </c>
      <c r="AZ17" s="163">
        <f t="shared" si="27"/>
        <v>-1</v>
      </c>
      <c r="BA17" s="162">
        <f t="shared" si="22"/>
        <v>0</v>
      </c>
      <c r="BB17" s="161">
        <f t="shared" si="22"/>
        <v>0</v>
      </c>
      <c r="BC17" s="161">
        <f t="shared" si="22"/>
        <v>0</v>
      </c>
      <c r="BD17" s="161">
        <f t="shared" si="22"/>
        <v>0</v>
      </c>
      <c r="BE17" s="161">
        <f t="shared" si="22"/>
        <v>0</v>
      </c>
      <c r="BF17" s="160">
        <f t="shared" si="28"/>
        <v>3115019.4522074023</v>
      </c>
      <c r="BH17" s="159">
        <f>'Op Cost_FY2026'!E8</f>
        <v>14481448</v>
      </c>
      <c r="BI17" s="158">
        <f t="shared" si="23"/>
        <v>0.21510414236251804</v>
      </c>
      <c r="BJ17" s="157">
        <f t="shared" si="24"/>
        <v>3115019.4522074023</v>
      </c>
      <c r="BK17" s="156">
        <f t="shared" si="25"/>
        <v>0</v>
      </c>
      <c r="BM17" s="548">
        <f t="shared" si="29"/>
        <v>1.0168816734407982</v>
      </c>
      <c r="BN17" s="548">
        <f t="shared" si="30"/>
        <v>1.3303200960866706</v>
      </c>
      <c r="BO17" s="566">
        <f t="shared" si="31"/>
        <v>1.1164714896901797</v>
      </c>
      <c r="BP17" s="401">
        <f t="shared" si="26"/>
        <v>3115019.4522074023</v>
      </c>
      <c r="BQ17" s="551">
        <f t="shared" si="32"/>
        <v>2.9632143328482494E-2</v>
      </c>
      <c r="BR17" s="552">
        <f t="shared" si="33"/>
        <v>2.9632143328482494E-2</v>
      </c>
      <c r="BS17" s="553">
        <f t="shared" si="34"/>
        <v>3.1157340165465442E-2</v>
      </c>
      <c r="BT17" s="540">
        <f t="shared" si="35"/>
        <v>3348212.0355886496</v>
      </c>
      <c r="BU17" s="540">
        <f t="shared" si="36"/>
        <v>4344434.3999999994</v>
      </c>
      <c r="BV17" s="540">
        <f t="shared" si="37"/>
        <v>3348212.0355886496</v>
      </c>
      <c r="BW17" s="540">
        <f t="shared" si="41"/>
        <v>0</v>
      </c>
      <c r="BX17" s="541">
        <f t="shared" si="38"/>
        <v>2.9632143328482494E-2</v>
      </c>
      <c r="BY17" s="542">
        <f t="shared" si="39"/>
        <v>3.3551610730698414E-2</v>
      </c>
      <c r="BZ17" s="563">
        <f t="shared" si="40"/>
        <v>3357523.9883526759</v>
      </c>
      <c r="CC17" s="147"/>
    </row>
    <row r="18" spans="1:81">
      <c r="A18" s="181" t="s">
        <v>51</v>
      </c>
      <c r="B18" s="180" t="s">
        <v>66</v>
      </c>
      <c r="C18" s="144"/>
      <c r="D18" s="179">
        <f>'Sizing - Reim Expen_FY2026'!B9</f>
        <v>5072179</v>
      </c>
      <c r="E18" s="178">
        <f>'Ridership-FY2026'!$E9</f>
        <v>332441</v>
      </c>
      <c r="F18" s="178">
        <f>'Revenue Hours_FY2026'!$E9</f>
        <v>38032</v>
      </c>
      <c r="G18" s="178">
        <f>'Revenue Miles_FY2026'!$E9</f>
        <v>554895</v>
      </c>
      <c r="H18" s="177">
        <f t="shared" si="0"/>
        <v>7.7926057912628393E-3</v>
      </c>
      <c r="I18" s="176">
        <f t="shared" si="1"/>
        <v>7.7926057912628393E-3</v>
      </c>
      <c r="J18" s="167"/>
      <c r="K18" s="175">
        <f>'Ridership-FY2026'!B9/'Revenue Hours_FY2026'!B9</f>
        <v>3.4815432129025932</v>
      </c>
      <c r="L18" s="171">
        <f>'Ridership-FY2026'!C9/'Revenue Hours_FY2026'!C9</f>
        <v>4.4669216251117509</v>
      </c>
      <c r="M18" s="171">
        <f>'Ridership-FY2026'!D9/'Revenue Hours_FY2026'!D9</f>
        <v>7.7552782335063606</v>
      </c>
      <c r="N18" s="171">
        <f>'Ridership-FY2026'!E9/'Revenue Hours_FY2026'!E9</f>
        <v>8.7410864535128319</v>
      </c>
      <c r="O18" s="174">
        <f t="shared" si="2"/>
        <v>1.1714187434979995</v>
      </c>
      <c r="P18" s="169">
        <f t="shared" si="3"/>
        <v>9.1284044845763492E-3</v>
      </c>
      <c r="Q18" s="173">
        <f t="shared" si="4"/>
        <v>8.8225422407641023E-3</v>
      </c>
      <c r="R18" s="172">
        <f>'Ridership-FY2026'!B9/'Revenue Miles_FY2026'!B9</f>
        <v>0.23255357049300571</v>
      </c>
      <c r="S18" s="171">
        <f>'Ridership-FY2026'!C9/'Revenue Miles_FY2026'!C9</f>
        <v>0.30066694525699961</v>
      </c>
      <c r="T18" s="171">
        <f>'Ridership-FY2026'!D9/'Revenue Miles_FY2026'!D9</f>
        <v>0.52558774529639718</v>
      </c>
      <c r="U18" s="171">
        <f>'Ridership-FY2026'!E9/'Revenue Miles_FY2026'!E9</f>
        <v>0.59910613719712735</v>
      </c>
      <c r="V18" s="174">
        <f t="shared" si="5"/>
        <v>1.1856531510578938</v>
      </c>
      <c r="W18" s="169">
        <f t="shared" si="6"/>
        <v>9.2393276113627767E-3</v>
      </c>
      <c r="X18" s="173">
        <f t="shared" si="7"/>
        <v>8.9422351825131571E-3</v>
      </c>
      <c r="Y18" s="172">
        <f>'Op Cost_FY2026'!B9/'Revenue Hours_FY2026'!B9</f>
        <v>97.854576204715912</v>
      </c>
      <c r="Z18" s="171">
        <f>'Op Cost_FY2026'!C9/'Revenue Hours_FY2026'!C9</f>
        <v>112.67122777391477</v>
      </c>
      <c r="AA18" s="171">
        <f>'Op Cost_FY2026'!D9/'Revenue Hours_FY2026'!D9</f>
        <v>122.86288695839272</v>
      </c>
      <c r="AB18" s="171">
        <f>'Op Cost_FY2026'!E9/'Revenue Hours_FY2026'!E9</f>
        <v>138.48985065208245</v>
      </c>
      <c r="AC18" s="174">
        <f t="shared" si="8"/>
        <v>1.0747196303588169</v>
      </c>
      <c r="AD18" s="169">
        <f t="shared" si="9"/>
        <v>7.2508267004121997E-3</v>
      </c>
      <c r="AE18" s="173">
        <f t="shared" si="10"/>
        <v>7.2637121403872134E-3</v>
      </c>
      <c r="AF18" s="172">
        <f>'Op Cost_FY2026'!B9/'Revenue Miles_FY2026'!B9</f>
        <v>6.5363057971394145</v>
      </c>
      <c r="AG18" s="171">
        <f>'Op Cost_FY2026'!C9/'Revenue Miles_FY2026'!C9</f>
        <v>7.5838612620142083</v>
      </c>
      <c r="AH18" s="171">
        <f>'Op Cost_FY2026'!D9/'Revenue Miles_FY2026'!D9</f>
        <v>8.3266165046243135</v>
      </c>
      <c r="AI18" s="171">
        <f>'Op Cost_FY2026'!E9/'Revenue Miles_FY2026'!E9</f>
        <v>9.4919687508447552</v>
      </c>
      <c r="AJ18" s="174">
        <f t="shared" si="11"/>
        <v>1.0897309117503498</v>
      </c>
      <c r="AK18" s="169">
        <f t="shared" si="12"/>
        <v>7.1509449784682936E-3</v>
      </c>
      <c r="AL18" s="173">
        <f t="shared" si="13"/>
        <v>7.1630223329843517E-3</v>
      </c>
      <c r="AM18" s="172">
        <f>'Op Cost_FY2026'!B9/'Ridership-FY2026'!B9</f>
        <v>28.106667136018022</v>
      </c>
      <c r="AN18" s="171">
        <f>'Op Cost_FY2026'!C9/'Ridership-FY2026'!C9</f>
        <v>25.223461978940815</v>
      </c>
      <c r="AO18" s="171">
        <f>'Op Cost_FY2026'!D9/'Ridership-FY2026'!D9</f>
        <v>15.842486015210735</v>
      </c>
      <c r="AP18" s="171">
        <f>'Op Cost_FY2026'!E9/'Ridership-FY2026'!E9</f>
        <v>15.843551186526332</v>
      </c>
      <c r="AQ18" s="170">
        <f t="shared" si="14"/>
        <v>0.95162230758164368</v>
      </c>
      <c r="AR18" s="169">
        <f t="shared" si="15"/>
        <v>8.1887590582719501E-3</v>
      </c>
      <c r="AS18" s="168">
        <f t="shared" si="16"/>
        <v>8.236597537205367E-3</v>
      </c>
      <c r="AT18" s="167"/>
      <c r="AU18" s="166">
        <f t="shared" si="17"/>
        <v>0</v>
      </c>
      <c r="AV18" s="165">
        <f t="shared" si="18"/>
        <v>0</v>
      </c>
      <c r="AW18" s="165">
        <f t="shared" si="19"/>
        <v>0</v>
      </c>
      <c r="AX18" s="165">
        <f t="shared" si="20"/>
        <v>0</v>
      </c>
      <c r="AY18" s="164">
        <f t="shared" si="21"/>
        <v>0</v>
      </c>
      <c r="AZ18" s="163">
        <f t="shared" si="27"/>
        <v>-1</v>
      </c>
      <c r="BA18" s="162">
        <f t="shared" si="22"/>
        <v>0</v>
      </c>
      <c r="BB18" s="161">
        <f t="shared" si="22"/>
        <v>0</v>
      </c>
      <c r="BC18" s="161">
        <f t="shared" si="22"/>
        <v>0</v>
      </c>
      <c r="BD18" s="161">
        <f t="shared" si="22"/>
        <v>0</v>
      </c>
      <c r="BE18" s="161">
        <f t="shared" si="22"/>
        <v>0</v>
      </c>
      <c r="BF18" s="160">
        <f t="shared" si="28"/>
        <v>937993.04115306935</v>
      </c>
      <c r="BH18" s="159">
        <f>'Op Cost_FY2026'!E9</f>
        <v>5267046</v>
      </c>
      <c r="BI18" s="158">
        <f t="shared" si="23"/>
        <v>0.17808711774172264</v>
      </c>
      <c r="BJ18" s="157">
        <f t="shared" si="24"/>
        <v>937993.04115306935</v>
      </c>
      <c r="BK18" s="156">
        <f t="shared" si="25"/>
        <v>0</v>
      </c>
      <c r="BM18" s="548">
        <f t="shared" si="29"/>
        <v>0.77079320936507312</v>
      </c>
      <c r="BN18" s="548">
        <f t="shared" si="30"/>
        <v>0.74487529004257091</v>
      </c>
      <c r="BO18" s="566">
        <f t="shared" si="31"/>
        <v>0.69097943273675688</v>
      </c>
      <c r="BP18" s="401">
        <f t="shared" si="26"/>
        <v>937993.04115306935</v>
      </c>
      <c r="BQ18" s="551">
        <f t="shared" si="32"/>
        <v>5.6450169461236474E-3</v>
      </c>
      <c r="BR18" s="552">
        <f t="shared" si="33"/>
        <v>5.6450169461236474E-3</v>
      </c>
      <c r="BS18" s="553">
        <f t="shared" si="34"/>
        <v>5.935571763421227E-3</v>
      </c>
      <c r="BT18" s="540">
        <f t="shared" si="35"/>
        <v>982416.96521097538</v>
      </c>
      <c r="BU18" s="540">
        <f t="shared" si="36"/>
        <v>1580113.8</v>
      </c>
      <c r="BV18" s="540">
        <f t="shared" si="37"/>
        <v>982416.96521097538</v>
      </c>
      <c r="BW18" s="540">
        <f t="shared" si="41"/>
        <v>0</v>
      </c>
      <c r="BX18" s="541">
        <f t="shared" si="38"/>
        <v>5.6450169461236474E-3</v>
      </c>
      <c r="BY18" s="542">
        <f t="shared" si="39"/>
        <v>6.3916878723546582E-3</v>
      </c>
      <c r="BZ18" s="563">
        <f t="shared" si="40"/>
        <v>984190.92163969937</v>
      </c>
      <c r="CC18" s="147"/>
    </row>
    <row r="19" spans="1:81">
      <c r="A19" s="181" t="s">
        <v>104</v>
      </c>
      <c r="B19" s="180" t="s">
        <v>67</v>
      </c>
      <c r="C19" s="144"/>
      <c r="D19" s="179">
        <f>'Sizing - Reim Expen_FY2026'!B10</f>
        <v>2126888</v>
      </c>
      <c r="E19" s="178">
        <f>'Ridership-FY2026'!$E10</f>
        <v>77878</v>
      </c>
      <c r="F19" s="178">
        <f>'Revenue Hours_FY2026'!$E10</f>
        <v>24727.8</v>
      </c>
      <c r="G19" s="178">
        <f>'Revenue Miles_FY2026'!$E10</f>
        <v>463883</v>
      </c>
      <c r="H19" s="177">
        <f t="shared" si="0"/>
        <v>3.668720479145409E-3</v>
      </c>
      <c r="I19" s="176">
        <f t="shared" si="1"/>
        <v>3.668720479145409E-3</v>
      </c>
      <c r="J19" s="167"/>
      <c r="K19" s="175">
        <f>'Ridership-FY2026'!B10/'Revenue Hours_FY2026'!B10</f>
        <v>5.361326293975428</v>
      </c>
      <c r="L19" s="171">
        <f>'Ridership-FY2026'!C10/'Revenue Hours_FY2026'!C10</f>
        <v>3.4816356739753909</v>
      </c>
      <c r="M19" s="171">
        <f>'Ridership-FY2026'!D10/'Revenue Hours_FY2026'!D10</f>
        <v>3.3501561802766622</v>
      </c>
      <c r="N19" s="171">
        <f>'Ridership-FY2026'!E10/'Revenue Hours_FY2026'!E10</f>
        <v>3.1494107846229751</v>
      </c>
      <c r="O19" s="174">
        <f t="shared" si="2"/>
        <v>0.73134212552263556</v>
      </c>
      <c r="P19" s="169">
        <f t="shared" si="3"/>
        <v>2.6830898331666251E-3</v>
      </c>
      <c r="Q19" s="173">
        <f t="shared" si="4"/>
        <v>2.5931884842388055E-3</v>
      </c>
      <c r="R19" s="172">
        <f>'Ridership-FY2026'!B10/'Revenue Miles_FY2026'!B10</f>
        <v>0.29459705668644059</v>
      </c>
      <c r="S19" s="171">
        <f>'Ridership-FY2026'!C10/'Revenue Miles_FY2026'!C10</f>
        <v>0.18135424146189841</v>
      </c>
      <c r="T19" s="171">
        <f>'Ridership-FY2026'!D10/'Revenue Miles_FY2026'!D10</f>
        <v>0.16980829081171064</v>
      </c>
      <c r="U19" s="171">
        <f>'Ridership-FY2026'!E10/'Revenue Miles_FY2026'!E10</f>
        <v>0.16788284977030846</v>
      </c>
      <c r="V19" s="174">
        <f t="shared" si="5"/>
        <v>0.73210443369450051</v>
      </c>
      <c r="W19" s="169">
        <f t="shared" si="6"/>
        <v>2.6858865287681661E-3</v>
      </c>
      <c r="X19" s="173">
        <f t="shared" si="7"/>
        <v>2.5995213097813582E-3</v>
      </c>
      <c r="Y19" s="172">
        <f>'Op Cost_FY2026'!B10/'Revenue Hours_FY2026'!B10</f>
        <v>71.305225243005879</v>
      </c>
      <c r="Z19" s="171">
        <f>'Op Cost_FY2026'!C10/'Revenue Hours_FY2026'!C10</f>
        <v>79.874363955962622</v>
      </c>
      <c r="AA19" s="171">
        <f>'Op Cost_FY2026'!D10/'Revenue Hours_FY2026'!D10</f>
        <v>87.91722445336903</v>
      </c>
      <c r="AB19" s="171">
        <f>'Op Cost_FY2026'!E10/'Revenue Hours_FY2026'!E10</f>
        <v>86.01201886136252</v>
      </c>
      <c r="AC19" s="174">
        <f t="shared" si="8"/>
        <v>1.0196484156589218</v>
      </c>
      <c r="AD19" s="169">
        <f t="shared" si="9"/>
        <v>3.5980249886178577E-3</v>
      </c>
      <c r="AE19" s="173">
        <f t="shared" si="10"/>
        <v>3.6044190367636778E-3</v>
      </c>
      <c r="AF19" s="172">
        <f>'Op Cost_FY2026'!B10/'Revenue Miles_FY2026'!B10</f>
        <v>3.9181180795800845</v>
      </c>
      <c r="AG19" s="171">
        <f>'Op Cost_FY2026'!C10/'Revenue Miles_FY2026'!C10</f>
        <v>4.1605601630756928</v>
      </c>
      <c r="AH19" s="171">
        <f>'Op Cost_FY2026'!D10/'Revenue Miles_FY2026'!D10</f>
        <v>4.456232131871313</v>
      </c>
      <c r="AI19" s="171">
        <f>'Op Cost_FY2026'!E10/'Revenue Miles_FY2026'!E10</f>
        <v>4.5849664678377957</v>
      </c>
      <c r="AJ19" s="174">
        <f t="shared" si="11"/>
        <v>1.0128076498369882</v>
      </c>
      <c r="AK19" s="169">
        <f t="shared" si="12"/>
        <v>3.6223269835450899E-3</v>
      </c>
      <c r="AL19" s="173">
        <f t="shared" si="13"/>
        <v>3.6284447941680336E-3</v>
      </c>
      <c r="AM19" s="172">
        <f>'Op Cost_FY2026'!B10/'Ridership-FY2026'!B10</f>
        <v>13.299922693220932</v>
      </c>
      <c r="AN19" s="171">
        <f>'Op Cost_FY2026'!C10/'Ridership-FY2026'!C10</f>
        <v>22.941620386363031</v>
      </c>
      <c r="AO19" s="171">
        <f>'Op Cost_FY2026'!D10/'Ridership-FY2026'!D10</f>
        <v>26.242724136553139</v>
      </c>
      <c r="AP19" s="171">
        <f>'Op Cost_FY2026'!E10/'Ridership-FY2026'!E10</f>
        <v>27.310511312565808</v>
      </c>
      <c r="AQ19" s="170">
        <f t="shared" si="14"/>
        <v>1.5025184960180014</v>
      </c>
      <c r="AR19" s="169">
        <f t="shared" si="15"/>
        <v>2.4417140214036039E-3</v>
      </c>
      <c r="AS19" s="168">
        <f t="shared" si="16"/>
        <v>2.4559784397291565E-3</v>
      </c>
      <c r="AT19" s="167"/>
      <c r="AU19" s="166">
        <f t="shared" si="17"/>
        <v>0</v>
      </c>
      <c r="AV19" s="165">
        <f t="shared" si="18"/>
        <v>0</v>
      </c>
      <c r="AW19" s="165">
        <f t="shared" si="19"/>
        <v>0</v>
      </c>
      <c r="AX19" s="165">
        <f t="shared" si="20"/>
        <v>0</v>
      </c>
      <c r="AY19" s="164">
        <f t="shared" si="21"/>
        <v>0</v>
      </c>
      <c r="AZ19" s="163">
        <f t="shared" si="27"/>
        <v>-1</v>
      </c>
      <c r="BA19" s="162">
        <f t="shared" si="22"/>
        <v>0</v>
      </c>
      <c r="BB19" s="161">
        <f t="shared" si="22"/>
        <v>0</v>
      </c>
      <c r="BC19" s="161">
        <f t="shared" si="22"/>
        <v>0</v>
      </c>
      <c r="BD19" s="161">
        <f t="shared" si="22"/>
        <v>0</v>
      </c>
      <c r="BE19" s="161">
        <f t="shared" si="22"/>
        <v>0</v>
      </c>
      <c r="BF19" s="160">
        <f t="shared" si="28"/>
        <v>441602.51032234944</v>
      </c>
      <c r="BH19" s="159">
        <f>'Op Cost_FY2026'!E10</f>
        <v>2126888</v>
      </c>
      <c r="BI19" s="158">
        <f t="shared" si="23"/>
        <v>0.20762847424140313</v>
      </c>
      <c r="BJ19" s="157">
        <f t="shared" si="24"/>
        <v>441602.51032234944</v>
      </c>
      <c r="BK19" s="156">
        <f t="shared" si="25"/>
        <v>0</v>
      </c>
      <c r="BM19" s="548">
        <f t="shared" si="29"/>
        <v>0.27771655837049231</v>
      </c>
      <c r="BN19" s="548">
        <f t="shared" si="30"/>
        <v>0.20873060489895359</v>
      </c>
      <c r="BO19" s="566">
        <f t="shared" si="31"/>
        <v>0.40085547597802262</v>
      </c>
      <c r="BP19" s="401">
        <f t="shared" si="26"/>
        <v>441602.51032234944</v>
      </c>
      <c r="BQ19" s="551">
        <f t="shared" si="32"/>
        <v>1.1814730144262776E-3</v>
      </c>
      <c r="BR19" s="552">
        <f t="shared" si="33"/>
        <v>1.1814730144262776E-3</v>
      </c>
      <c r="BS19" s="553">
        <f t="shared" si="34"/>
        <v>1.2422846433593625E-3</v>
      </c>
      <c r="BT19" s="540">
        <f t="shared" si="35"/>
        <v>450900.20915483555</v>
      </c>
      <c r="BU19" s="540">
        <f t="shared" si="36"/>
        <v>638066.4</v>
      </c>
      <c r="BV19" s="540">
        <f t="shared" si="37"/>
        <v>450900.20915483555</v>
      </c>
      <c r="BW19" s="540">
        <f t="shared" si="41"/>
        <v>0</v>
      </c>
      <c r="BX19" s="541">
        <f t="shared" si="38"/>
        <v>1.1814730144262776E-3</v>
      </c>
      <c r="BY19" s="542">
        <f t="shared" si="39"/>
        <v>1.3377473991479016E-3</v>
      </c>
      <c r="BZ19" s="563">
        <f t="shared" si="40"/>
        <v>451271.48911188589</v>
      </c>
      <c r="CC19" s="147"/>
    </row>
    <row r="20" spans="1:81">
      <c r="A20" s="181" t="s">
        <v>104</v>
      </c>
      <c r="B20" s="180" t="s">
        <v>68</v>
      </c>
      <c r="C20" s="144"/>
      <c r="D20" s="179">
        <f>'Sizing - Reim Expen_FY2026'!B11</f>
        <v>225862</v>
      </c>
      <c r="E20" s="178">
        <f>'Ridership-FY2026'!$E11</f>
        <v>11821</v>
      </c>
      <c r="F20" s="178">
        <f>'Revenue Hours_FY2026'!$E11</f>
        <v>2826</v>
      </c>
      <c r="G20" s="178">
        <f>'Revenue Miles_FY2026'!$E11</f>
        <v>53914</v>
      </c>
      <c r="H20" s="177">
        <f t="shared" si="0"/>
        <v>4.299833411547236E-4</v>
      </c>
      <c r="I20" s="176">
        <f t="shared" si="1"/>
        <v>4.299833411547236E-4</v>
      </c>
      <c r="J20" s="167"/>
      <c r="K20" s="175">
        <f>'Ridership-FY2026'!B11/'Revenue Hours_FY2026'!B11</f>
        <v>1.3415032679738561</v>
      </c>
      <c r="L20" s="171">
        <f>'Ridership-FY2026'!C11/'Revenue Hours_FY2026'!C11</f>
        <v>1.759546925566343</v>
      </c>
      <c r="M20" s="171">
        <f>'Ridership-FY2026'!D11/'Revenue Hours_FY2026'!D11</f>
        <v>3.4945302445302446</v>
      </c>
      <c r="N20" s="171">
        <f>'Ridership-FY2026'!E11/'Revenue Hours_FY2026'!E11</f>
        <v>4.1829440905874025</v>
      </c>
      <c r="O20" s="174">
        <f t="shared" si="2"/>
        <v>1.2707041716788596</v>
      </c>
      <c r="P20" s="169">
        <f t="shared" si="3"/>
        <v>5.4638162535772152E-4</v>
      </c>
      <c r="Q20" s="173">
        <f t="shared" si="4"/>
        <v>5.280742080875883E-4</v>
      </c>
      <c r="R20" s="172">
        <f>'Ridership-FY2026'!B11/'Revenue Miles_FY2026'!B11</f>
        <v>8.4451119157340354E-2</v>
      </c>
      <c r="S20" s="171">
        <f>'Ridership-FY2026'!C11/'Revenue Miles_FY2026'!C11</f>
        <v>0.10382691059084138</v>
      </c>
      <c r="T20" s="171">
        <f>'Ridership-FY2026'!D11/'Revenue Miles_FY2026'!D11</f>
        <v>0.19750504628030041</v>
      </c>
      <c r="U20" s="171">
        <f>'Ridership-FY2026'!E11/'Revenue Miles_FY2026'!E11</f>
        <v>0.21925659383462551</v>
      </c>
      <c r="V20" s="174">
        <f t="shared" si="5"/>
        <v>1.2027212402786347</v>
      </c>
      <c r="W20" s="169">
        <f t="shared" si="6"/>
        <v>5.1715009737276043E-4</v>
      </c>
      <c r="X20" s="173">
        <f t="shared" si="7"/>
        <v>5.0052103246988385E-4</v>
      </c>
      <c r="Y20" s="172">
        <f>'Op Cost_FY2026'!B11/'Revenue Hours_FY2026'!B11</f>
        <v>49.306209150326801</v>
      </c>
      <c r="Z20" s="171">
        <f>'Op Cost_FY2026'!C11/'Revenue Hours_FY2026'!C11</f>
        <v>54.219417475728157</v>
      </c>
      <c r="AA20" s="171">
        <f>'Op Cost_FY2026'!D11/'Revenue Hours_FY2026'!D11</f>
        <v>62.816602316602314</v>
      </c>
      <c r="AB20" s="171">
        <f>'Op Cost_FY2026'!E11/'Revenue Hours_FY2026'!E11</f>
        <v>79.922859164897375</v>
      </c>
      <c r="AC20" s="174">
        <f t="shared" si="8"/>
        <v>1.1250369583058519</v>
      </c>
      <c r="AD20" s="169">
        <f t="shared" si="9"/>
        <v>3.8219485856021856E-4</v>
      </c>
      <c r="AE20" s="173">
        <f t="shared" si="10"/>
        <v>3.8287405682439117E-4</v>
      </c>
      <c r="AF20" s="172">
        <f>'Op Cost_FY2026'!B11/'Revenue Miles_FY2026'!B11</f>
        <v>3.103954081632653</v>
      </c>
      <c r="AG20" s="171">
        <f>'Op Cost_FY2026'!C11/'Revenue Miles_FY2026'!C11</f>
        <v>3.1993660008402398</v>
      </c>
      <c r="AH20" s="171">
        <f>'Op Cost_FY2026'!D11/'Revenue Miles_FY2026'!D11</f>
        <v>3.5502900474623118</v>
      </c>
      <c r="AI20" s="171">
        <f>'Op Cost_FY2026'!E11/'Revenue Miles_FY2026'!E11</f>
        <v>4.1893014801350299</v>
      </c>
      <c r="AJ20" s="174">
        <f t="shared" si="11"/>
        <v>1.0625424592304593</v>
      </c>
      <c r="AK20" s="169">
        <f t="shared" si="12"/>
        <v>4.0467403200634142E-4</v>
      </c>
      <c r="AL20" s="173">
        <f t="shared" si="13"/>
        <v>4.0535749297026987E-4</v>
      </c>
      <c r="AM20" s="172">
        <f>'Op Cost_FY2026'!B11/'Ridership-FY2026'!B11</f>
        <v>36.754445797807549</v>
      </c>
      <c r="AN20" s="171">
        <f>'Op Cost_FY2026'!C11/'Ridership-FY2026'!C11</f>
        <v>30.814419716755562</v>
      </c>
      <c r="AO20" s="171">
        <f>'Op Cost_FY2026'!D11/'Ridership-FY2026'!D11</f>
        <v>17.97569284596262</v>
      </c>
      <c r="AP20" s="171">
        <f>'Op Cost_FY2026'!E11/'Ridership-FY2026'!E11</f>
        <v>19.106843752643602</v>
      </c>
      <c r="AQ20" s="170">
        <f t="shared" si="14"/>
        <v>0.93210492020148372</v>
      </c>
      <c r="AR20" s="169">
        <f t="shared" si="15"/>
        <v>4.6130358486014473E-4</v>
      </c>
      <c r="AS20" s="168">
        <f t="shared" si="16"/>
        <v>4.6399850623580173E-4</v>
      </c>
      <c r="AT20" s="167"/>
      <c r="AU20" s="166">
        <f t="shared" si="17"/>
        <v>0</v>
      </c>
      <c r="AV20" s="165">
        <f t="shared" si="18"/>
        <v>0</v>
      </c>
      <c r="AW20" s="165">
        <f t="shared" si="19"/>
        <v>0</v>
      </c>
      <c r="AX20" s="165">
        <f t="shared" si="20"/>
        <v>0</v>
      </c>
      <c r="AY20" s="164">
        <f t="shared" si="21"/>
        <v>0</v>
      </c>
      <c r="AZ20" s="163">
        <f t="shared" si="27"/>
        <v>-1</v>
      </c>
      <c r="BA20" s="162">
        <f t="shared" si="22"/>
        <v>0</v>
      </c>
      <c r="BB20" s="161">
        <f t="shared" si="22"/>
        <v>0</v>
      </c>
      <c r="BC20" s="161">
        <f t="shared" si="22"/>
        <v>0</v>
      </c>
      <c r="BD20" s="161">
        <f t="shared" si="22"/>
        <v>0</v>
      </c>
      <c r="BE20" s="161">
        <f t="shared" si="22"/>
        <v>0</v>
      </c>
      <c r="BF20" s="160">
        <f t="shared" si="28"/>
        <v>51756.933767531984</v>
      </c>
      <c r="BH20" s="159">
        <f>'Op Cost_FY2026'!E11</f>
        <v>225862</v>
      </c>
      <c r="BI20" s="158">
        <f t="shared" si="23"/>
        <v>0.22915290649835734</v>
      </c>
      <c r="BJ20" s="157">
        <f t="shared" si="24"/>
        <v>51756.933767531984</v>
      </c>
      <c r="BK20" s="156">
        <f t="shared" si="25"/>
        <v>0</v>
      </c>
      <c r="BM20" s="548">
        <f t="shared" si="29"/>
        <v>0.36885402258924105</v>
      </c>
      <c r="BN20" s="548">
        <f t="shared" si="30"/>
        <v>0.27260414939227223</v>
      </c>
      <c r="BO20" s="566">
        <f t="shared" si="31"/>
        <v>0.57296579974843009</v>
      </c>
      <c r="BP20" s="401">
        <f t="shared" si="26"/>
        <v>51756.933767531984</v>
      </c>
      <c r="BQ20" s="551">
        <f t="shared" si="32"/>
        <v>1.9213695647151224E-4</v>
      </c>
      <c r="BR20" s="552">
        <f t="shared" si="33"/>
        <v>1.9213695647151224E-4</v>
      </c>
      <c r="BS20" s="553">
        <f t="shared" si="34"/>
        <v>2.0202644286570782E-4</v>
      </c>
      <c r="BT20" s="540">
        <f t="shared" si="35"/>
        <v>53268.971312232155</v>
      </c>
      <c r="BU20" s="540">
        <f t="shared" si="36"/>
        <v>67758.599999999991</v>
      </c>
      <c r="BV20" s="540">
        <f t="shared" si="37"/>
        <v>53268.971312232155</v>
      </c>
      <c r="BW20" s="540">
        <f t="shared" si="41"/>
        <v>0</v>
      </c>
      <c r="BX20" s="541">
        <f t="shared" si="38"/>
        <v>1.9213695647151224E-4</v>
      </c>
      <c r="BY20" s="542">
        <f t="shared" si="39"/>
        <v>2.1755106605187506E-4</v>
      </c>
      <c r="BZ20" s="563">
        <f t="shared" si="40"/>
        <v>53329.350686179321</v>
      </c>
      <c r="CC20" s="147"/>
    </row>
    <row r="21" spans="1:81">
      <c r="A21" s="181" t="s">
        <v>104</v>
      </c>
      <c r="B21" s="180" t="s">
        <v>69</v>
      </c>
      <c r="C21" s="144"/>
      <c r="D21" s="179">
        <f>'Sizing - Reim Expen_FY2026'!B12</f>
        <v>129210017</v>
      </c>
      <c r="E21" s="178">
        <f>'Ridership-FY2026'!$E12</f>
        <v>8574727</v>
      </c>
      <c r="F21" s="178">
        <f>'Revenue Hours_FY2026'!$E12</f>
        <v>1002985.3500000001</v>
      </c>
      <c r="G21" s="178">
        <f>'Revenue Miles_FY2026'!$E12</f>
        <v>13608118.7366</v>
      </c>
      <c r="H21" s="177">
        <f t="shared" si="0"/>
        <v>0.19910547903123477</v>
      </c>
      <c r="I21" s="176">
        <f t="shared" si="1"/>
        <v>0.19910547903123477</v>
      </c>
      <c r="J21" s="167"/>
      <c r="K21" s="175">
        <f>'Ridership-FY2026'!B12/'Revenue Hours_FY2026'!B12</f>
        <v>6.640780447028594</v>
      </c>
      <c r="L21" s="171">
        <f>'Ridership-FY2026'!C12/'Revenue Hours_FY2026'!C12</f>
        <v>7.1961861955660096</v>
      </c>
      <c r="M21" s="171">
        <f>'Ridership-FY2026'!D12/'Revenue Hours_FY2026'!D12</f>
        <v>7.4695517602798605</v>
      </c>
      <c r="N21" s="171">
        <f>'Ridership-FY2026'!E12/'Revenue Hours_FY2026'!E12</f>
        <v>8.5492046319520014</v>
      </c>
      <c r="O21" s="174">
        <f t="shared" si="2"/>
        <v>0.92912615428559064</v>
      </c>
      <c r="P21" s="169">
        <f t="shared" si="3"/>
        <v>0.18499410802948146</v>
      </c>
      <c r="Q21" s="173">
        <f t="shared" si="4"/>
        <v>0.17879557540863339</v>
      </c>
      <c r="R21" s="172">
        <f>'Ridership-FY2026'!B12/'Revenue Miles_FY2026'!B12</f>
        <v>0.46622665154015291</v>
      </c>
      <c r="S21" s="171">
        <f>'Ridership-FY2026'!C12/'Revenue Miles_FY2026'!C12</f>
        <v>0.49455273703023678</v>
      </c>
      <c r="T21" s="171">
        <f>'Ridership-FY2026'!D12/'Revenue Miles_FY2026'!D12</f>
        <v>0.51854760762331398</v>
      </c>
      <c r="U21" s="171">
        <f>'Ridership-FY2026'!E12/'Revenue Miles_FY2026'!E12</f>
        <v>0.6301184730948638</v>
      </c>
      <c r="V21" s="174">
        <f t="shared" si="5"/>
        <v>0.95181830349680541</v>
      </c>
      <c r="W21" s="169">
        <f t="shared" si="6"/>
        <v>0.18951223926842864</v>
      </c>
      <c r="X21" s="173">
        <f t="shared" si="7"/>
        <v>0.1834184352786507</v>
      </c>
      <c r="Y21" s="172">
        <f>'Op Cost_FY2026'!B12/'Revenue Hours_FY2026'!B12</f>
        <v>107.97198556298591</v>
      </c>
      <c r="Z21" s="171">
        <f>'Op Cost_FY2026'!C12/'Revenue Hours_FY2026'!C12</f>
        <v>112.49719845156518</v>
      </c>
      <c r="AA21" s="171">
        <f>'Op Cost_FY2026'!D12/'Revenue Hours_FY2026'!D12</f>
        <v>125.82563161812979</v>
      </c>
      <c r="AB21" s="171">
        <f>'Op Cost_FY2026'!E12/'Revenue Hours_FY2026'!E12</f>
        <v>129.05743638229609</v>
      </c>
      <c r="AC21" s="174">
        <f t="shared" si="8"/>
        <v>1.0144497417422516</v>
      </c>
      <c r="AD21" s="169">
        <f t="shared" si="9"/>
        <v>0.19626943636387942</v>
      </c>
      <c r="AE21" s="173">
        <f t="shared" si="10"/>
        <v>0.19661822666679105</v>
      </c>
      <c r="AF21" s="172">
        <f>'Op Cost_FY2026'!B12/'Revenue Miles_FY2026'!B12</f>
        <v>7.5803465708156237</v>
      </c>
      <c r="AG21" s="171">
        <f>'Op Cost_FY2026'!C12/'Revenue Miles_FY2026'!C12</f>
        <v>7.7312893094311175</v>
      </c>
      <c r="AH21" s="171">
        <f>'Op Cost_FY2026'!D12/'Revenue Miles_FY2026'!D12</f>
        <v>8.735006108429328</v>
      </c>
      <c r="AI21" s="171">
        <f>'Op Cost_FY2026'!E12/'Revenue Miles_FY2026'!E12</f>
        <v>9.512168471300491</v>
      </c>
      <c r="AJ21" s="174">
        <f t="shared" si="11"/>
        <v>1.0358017781168538</v>
      </c>
      <c r="AK21" s="169">
        <f t="shared" si="12"/>
        <v>0.19222353469330763</v>
      </c>
      <c r="AL21" s="173">
        <f t="shared" si="13"/>
        <v>0.19254818434196402</v>
      </c>
      <c r="AM21" s="172">
        <f>'Op Cost_FY2026'!B12/'Ridership-FY2026'!B12</f>
        <v>16.258930170067252</v>
      </c>
      <c r="AN21" s="171">
        <f>'Op Cost_FY2026'!C12/'Ridership-FY2026'!C12</f>
        <v>15.632891561488677</v>
      </c>
      <c r="AO21" s="171">
        <f>'Op Cost_FY2026'!D12/'Ridership-FY2026'!D12</f>
        <v>16.845138189847084</v>
      </c>
      <c r="AP21" s="171">
        <f>'Op Cost_FY2026'!E12/'Ridership-FY2026'!E12</f>
        <v>15.095841302002967</v>
      </c>
      <c r="AQ21" s="174">
        <f t="shared" si="14"/>
        <v>1.105548154721899</v>
      </c>
      <c r="AR21" s="169">
        <f t="shared" si="15"/>
        <v>0.18009661377556169</v>
      </c>
      <c r="AS21" s="168">
        <f t="shared" si="16"/>
        <v>0.18114873266229081</v>
      </c>
      <c r="AT21" s="167"/>
      <c r="AU21" s="166">
        <f t="shared" si="17"/>
        <v>0</v>
      </c>
      <c r="AV21" s="165">
        <f t="shared" si="18"/>
        <v>0</v>
      </c>
      <c r="AW21" s="165">
        <f t="shared" si="19"/>
        <v>0</v>
      </c>
      <c r="AX21" s="165">
        <f t="shared" si="20"/>
        <v>0</v>
      </c>
      <c r="AY21" s="164">
        <f t="shared" si="21"/>
        <v>0</v>
      </c>
      <c r="AZ21" s="163">
        <f t="shared" si="27"/>
        <v>-1</v>
      </c>
      <c r="BA21" s="162">
        <f t="shared" si="22"/>
        <v>0</v>
      </c>
      <c r="BB21" s="161">
        <f t="shared" si="22"/>
        <v>0</v>
      </c>
      <c r="BC21" s="161">
        <f t="shared" si="22"/>
        <v>0</v>
      </c>
      <c r="BD21" s="161">
        <f t="shared" si="22"/>
        <v>0</v>
      </c>
      <c r="BE21" s="161">
        <f t="shared" si="22"/>
        <v>0</v>
      </c>
      <c r="BF21" s="160">
        <f t="shared" si="28"/>
        <v>23966251.955943104</v>
      </c>
      <c r="BH21" s="159">
        <f>'Op Cost_FY2026'!E12</f>
        <v>129442718</v>
      </c>
      <c r="BI21" s="158">
        <f t="shared" si="23"/>
        <v>0.18514948021983826</v>
      </c>
      <c r="BJ21" s="157">
        <f t="shared" si="24"/>
        <v>23966251.955943104</v>
      </c>
      <c r="BK21" s="156">
        <f t="shared" si="25"/>
        <v>0</v>
      </c>
      <c r="BM21" s="548">
        <f t="shared" si="29"/>
        <v>0.75387297801325404</v>
      </c>
      <c r="BN21" s="548">
        <f t="shared" si="30"/>
        <v>0.78343327044450306</v>
      </c>
      <c r="BO21" s="566">
        <f t="shared" si="31"/>
        <v>0.72520423290016811</v>
      </c>
      <c r="BP21" s="401">
        <f t="shared" si="26"/>
        <v>23966251.955943104</v>
      </c>
      <c r="BQ21" s="551">
        <f t="shared" si="32"/>
        <v>0.14871759234775658</v>
      </c>
      <c r="BR21" s="552">
        <f t="shared" si="33"/>
        <v>0.14871759234775658</v>
      </c>
      <c r="BS21" s="553">
        <f t="shared" si="34"/>
        <v>0.15637223949690474</v>
      </c>
      <c r="BT21" s="540">
        <f t="shared" si="35"/>
        <v>25136597.251906835</v>
      </c>
      <c r="BU21" s="540">
        <f t="shared" si="36"/>
        <v>38832815.399999999</v>
      </c>
      <c r="BV21" s="540">
        <f t="shared" si="37"/>
        <v>25136597.251906835</v>
      </c>
      <c r="BW21" s="540">
        <f t="shared" si="41"/>
        <v>0</v>
      </c>
      <c r="BX21" s="541">
        <f t="shared" si="38"/>
        <v>0.14871759234775658</v>
      </c>
      <c r="BY21" s="542">
        <f t="shared" si="39"/>
        <v>0.16838858775573265</v>
      </c>
      <c r="BZ21" s="563">
        <f t="shared" si="40"/>
        <v>25183332.0148894</v>
      </c>
      <c r="CC21" s="147"/>
    </row>
    <row r="22" spans="1:81">
      <c r="A22" s="181" t="s">
        <v>104</v>
      </c>
      <c r="B22" s="180" t="s">
        <v>70</v>
      </c>
      <c r="C22" s="144"/>
      <c r="D22" s="179">
        <f>'Sizing - Reim Expen_FY2026'!B13</f>
        <v>1304126</v>
      </c>
      <c r="E22" s="178">
        <f>'Ridership-FY2026'!$E13</f>
        <v>101901</v>
      </c>
      <c r="F22" s="178">
        <f>'Revenue Hours_FY2026'!$E13</f>
        <v>20119</v>
      </c>
      <c r="G22" s="178">
        <f>'Revenue Miles_FY2026'!$E13</f>
        <v>529269</v>
      </c>
      <c r="H22" s="177">
        <f t="shared" si="0"/>
        <v>3.3215999564184069E-3</v>
      </c>
      <c r="I22" s="176">
        <f t="shared" si="1"/>
        <v>3.3215999564184069E-3</v>
      </c>
      <c r="J22" s="167"/>
      <c r="K22" s="175">
        <f>'Ridership-FY2026'!B13/'Revenue Hours_FY2026'!B13</f>
        <v>2.5445369916707494</v>
      </c>
      <c r="L22" s="171">
        <f>'Ridership-FY2026'!C13/'Revenue Hours_FY2026'!C13</f>
        <v>3.1323175227328584</v>
      </c>
      <c r="M22" s="171">
        <f>'Ridership-FY2026'!D13/'Revenue Hours_FY2026'!D13</f>
        <v>4.5268015794669303</v>
      </c>
      <c r="N22" s="171">
        <f>'Ridership-FY2026'!E13/'Revenue Hours_FY2026'!E13</f>
        <v>5.0649137631094989</v>
      </c>
      <c r="O22" s="174">
        <f t="shared" si="2"/>
        <v>1.073695224756283</v>
      </c>
      <c r="P22" s="169">
        <f t="shared" si="3"/>
        <v>3.5663860117571213E-3</v>
      </c>
      <c r="Q22" s="173">
        <f t="shared" si="4"/>
        <v>3.4468883679246495E-3</v>
      </c>
      <c r="R22" s="172">
        <f>'Ridership-FY2026'!B13/'Revenue Miles_FY2026'!B13</f>
        <v>0.1120356208297289</v>
      </c>
      <c r="S22" s="171">
        <f>'Ridership-FY2026'!C13/'Revenue Miles_FY2026'!C13</f>
        <v>0.13193504175827817</v>
      </c>
      <c r="T22" s="171">
        <f>'Ridership-FY2026'!D13/'Revenue Miles_FY2026'!D13</f>
        <v>0.17952070654971744</v>
      </c>
      <c r="U22" s="171">
        <f>'Ridership-FY2026'!E13/'Revenue Miles_FY2026'!E13</f>
        <v>0.1925315860176961</v>
      </c>
      <c r="V22" s="174">
        <f t="shared" si="5"/>
        <v>1.025802652359719</v>
      </c>
      <c r="W22" s="169">
        <f t="shared" si="6"/>
        <v>3.407306045371929E-3</v>
      </c>
      <c r="X22" s="173">
        <f t="shared" si="7"/>
        <v>3.2977434374167132E-3</v>
      </c>
      <c r="Y22" s="172">
        <f>'Op Cost_FY2026'!B13/'Revenue Hours_FY2026'!B13</f>
        <v>48.696570308672221</v>
      </c>
      <c r="Z22" s="171">
        <f>'Op Cost_FY2026'!C13/'Revenue Hours_FY2026'!C13</f>
        <v>59.030916687146721</v>
      </c>
      <c r="AA22" s="171">
        <f>'Op Cost_FY2026'!D13/'Revenue Hours_FY2026'!D13</f>
        <v>61.540424481737411</v>
      </c>
      <c r="AB22" s="171">
        <f>'Op Cost_FY2026'!E13/'Revenue Hours_FY2026'!E13</f>
        <v>66.988568020279331</v>
      </c>
      <c r="AC22" s="174">
        <f t="shared" si="8"/>
        <v>1.0677662862612751</v>
      </c>
      <c r="AD22" s="169">
        <f t="shared" si="9"/>
        <v>3.1107930631981331E-3</v>
      </c>
      <c r="AE22" s="173">
        <f t="shared" si="10"/>
        <v>3.1163212517684447E-3</v>
      </c>
      <c r="AF22" s="172">
        <f>'Op Cost_FY2026'!B13/'Revenue Miles_FY2026'!B13</f>
        <v>2.1441034281165527</v>
      </c>
      <c r="AG22" s="171">
        <f>'Op Cost_FY2026'!C13/'Revenue Miles_FY2026'!C13</f>
        <v>2.4864166552799274</v>
      </c>
      <c r="AH22" s="171">
        <f>'Op Cost_FY2026'!D13/'Revenue Miles_FY2026'!D13</f>
        <v>2.4405267804187702</v>
      </c>
      <c r="AI22" s="171">
        <f>'Op Cost_FY2026'!E13/'Revenue Miles_FY2026'!E13</f>
        <v>2.5464234633050489</v>
      </c>
      <c r="AJ22" s="174">
        <f t="shared" si="11"/>
        <v>1.0231988179124334</v>
      </c>
      <c r="AK22" s="169">
        <f t="shared" si="12"/>
        <v>3.2462898688597522E-3</v>
      </c>
      <c r="AL22" s="173">
        <f t="shared" si="13"/>
        <v>3.251772583903171E-3</v>
      </c>
      <c r="AM22" s="172">
        <f>'Op Cost_FY2026'!B13/'Ridership-FY2026'!B13</f>
        <v>19.13769399622598</v>
      </c>
      <c r="AN22" s="171">
        <f>'Op Cost_FY2026'!C13/'Ridership-FY2026'!C13</f>
        <v>18.84576396189998</v>
      </c>
      <c r="AO22" s="171">
        <f>'Op Cost_FY2026'!D13/'Ridership-FY2026'!D13</f>
        <v>13.594681233849073</v>
      </c>
      <c r="AP22" s="171">
        <f>'Op Cost_FY2026'!E13/'Ridership-FY2026'!E13</f>
        <v>13.226003670228948</v>
      </c>
      <c r="AQ22" s="170">
        <f t="shared" si="14"/>
        <v>1.0129687350188592</v>
      </c>
      <c r="AR22" s="169">
        <f t="shared" si="15"/>
        <v>3.2790745080168403E-3</v>
      </c>
      <c r="AS22" s="168">
        <f t="shared" si="16"/>
        <v>3.2982307605890064E-3</v>
      </c>
      <c r="AT22" s="167"/>
      <c r="AU22" s="166">
        <f t="shared" si="17"/>
        <v>0</v>
      </c>
      <c r="AV22" s="165">
        <f t="shared" si="18"/>
        <v>0</v>
      </c>
      <c r="AW22" s="165">
        <f t="shared" si="19"/>
        <v>0</v>
      </c>
      <c r="AX22" s="165">
        <f t="shared" si="20"/>
        <v>0</v>
      </c>
      <c r="AY22" s="164">
        <f t="shared" si="21"/>
        <v>0</v>
      </c>
      <c r="AZ22" s="163">
        <f t="shared" si="27"/>
        <v>-1</v>
      </c>
      <c r="BA22" s="162">
        <f t="shared" si="22"/>
        <v>0</v>
      </c>
      <c r="BB22" s="161">
        <f t="shared" si="22"/>
        <v>0</v>
      </c>
      <c r="BC22" s="161">
        <f t="shared" si="22"/>
        <v>0</v>
      </c>
      <c r="BD22" s="161">
        <f t="shared" si="22"/>
        <v>0</v>
      </c>
      <c r="BE22" s="161">
        <f t="shared" si="22"/>
        <v>0</v>
      </c>
      <c r="BF22" s="160">
        <f t="shared" si="28"/>
        <v>399819.74298097997</v>
      </c>
      <c r="BH22" s="159">
        <f>'Op Cost_FY2026'!E13</f>
        <v>1347743</v>
      </c>
      <c r="BI22" s="158">
        <f t="shared" si="23"/>
        <v>0.29665874204576093</v>
      </c>
      <c r="BJ22" s="157">
        <f t="shared" si="24"/>
        <v>399819.74298097997</v>
      </c>
      <c r="BK22" s="156">
        <f t="shared" si="25"/>
        <v>0</v>
      </c>
      <c r="BM22" s="548">
        <f t="shared" si="29"/>
        <v>0.44662653268411234</v>
      </c>
      <c r="BN22" s="548">
        <f t="shared" si="30"/>
        <v>0.23937665143647141</v>
      </c>
      <c r="BO22" s="566">
        <f t="shared" si="31"/>
        <v>0.82773060437327328</v>
      </c>
      <c r="BP22" s="401">
        <f t="shared" si="26"/>
        <v>399819.74298097997</v>
      </c>
      <c r="BQ22" s="551">
        <f t="shared" si="32"/>
        <v>1.9443520063256777E-3</v>
      </c>
      <c r="BR22" s="552">
        <f t="shared" si="33"/>
        <v>1.9443520063256777E-3</v>
      </c>
      <c r="BS22" s="553">
        <f t="shared" si="34"/>
        <v>2.0444298001307216E-3</v>
      </c>
      <c r="BT22" s="540">
        <f t="shared" si="35"/>
        <v>415120.98063805414</v>
      </c>
      <c r="BU22" s="540">
        <f t="shared" si="36"/>
        <v>404322.89999999997</v>
      </c>
      <c r="BV22" s="540">
        <f t="shared" si="37"/>
        <v>404322.89999999997</v>
      </c>
      <c r="BW22" s="540">
        <f t="shared" si="41"/>
        <v>10798.080638054176</v>
      </c>
      <c r="BX22" s="541">
        <f t="shared" si="38"/>
        <v>0</v>
      </c>
      <c r="BY22" s="542">
        <f t="shared" si="39"/>
        <v>0</v>
      </c>
      <c r="BZ22" s="563">
        <f t="shared" si="40"/>
        <v>404322.89999999997</v>
      </c>
      <c r="CC22" s="147"/>
    </row>
    <row r="23" spans="1:81">
      <c r="A23" s="181" t="s">
        <v>104</v>
      </c>
      <c r="B23" s="180" t="s">
        <v>71</v>
      </c>
      <c r="C23" s="144"/>
      <c r="D23" s="179">
        <f>'Sizing - Reim Expen_FY2026'!B14</f>
        <v>69734</v>
      </c>
      <c r="E23" s="178">
        <f>'Ridership-FY2026'!$E14</f>
        <v>6243</v>
      </c>
      <c r="F23" s="178">
        <f>'Revenue Hours_FY2026'!$E14</f>
        <v>3135</v>
      </c>
      <c r="G23" s="178">
        <f>'Revenue Miles_FY2026'!$E14</f>
        <v>11686</v>
      </c>
      <c r="H23" s="182">
        <f t="shared" si="0"/>
        <v>2.1106617927306914E-4</v>
      </c>
      <c r="I23" s="176">
        <f t="shared" si="1"/>
        <v>2.1106617927306914E-4</v>
      </c>
      <c r="J23" s="167"/>
      <c r="K23" s="175">
        <f>'Ridership-FY2026'!B14/'Revenue Hours_FY2026'!B14</f>
        <v>1.0119225037257824</v>
      </c>
      <c r="L23" s="171">
        <f>'Ridership-FY2026'!C14/'Revenue Hours_FY2026'!C14</f>
        <v>3.4102272727272727</v>
      </c>
      <c r="M23" s="171">
        <f>'Ridership-FY2026'!D14/'Revenue Hours_FY2026'!D14</f>
        <v>6.2649402390438249</v>
      </c>
      <c r="N23" s="171">
        <f>'Ridership-FY2026'!E14/'Revenue Hours_FY2026'!E14</f>
        <v>1.9913875598086124</v>
      </c>
      <c r="O23" s="174">
        <f t="shared" si="2"/>
        <v>1.4905641336229849</v>
      </c>
      <c r="P23" s="169">
        <f t="shared" si="3"/>
        <v>3.1460767664527589E-4</v>
      </c>
      <c r="Q23" s="173">
        <f t="shared" si="4"/>
        <v>3.0406622769197094E-4</v>
      </c>
      <c r="R23" s="172">
        <f>'Ridership-FY2026'!B14/'Revenue Miles_FY2026'!B14</f>
        <v>0.14279705573080967</v>
      </c>
      <c r="S23" s="171">
        <f>'Ridership-FY2026'!C14/'Revenue Miles_FY2026'!C14</f>
        <v>0.44282130736314002</v>
      </c>
      <c r="T23" s="171">
        <f>'Ridership-FY2026'!D14/'Revenue Miles_FY2026'!D14</f>
        <v>0.67765567765567769</v>
      </c>
      <c r="U23" s="171">
        <f>'Ridership-FY2026'!E14/'Revenue Miles_FY2026'!E14</f>
        <v>0.53422899195618689</v>
      </c>
      <c r="V23" s="174">
        <f t="shared" si="5"/>
        <v>1.4948703613430017</v>
      </c>
      <c r="W23" s="169">
        <f t="shared" si="6"/>
        <v>3.1551657567721966E-4</v>
      </c>
      <c r="X23" s="173">
        <f t="shared" si="7"/>
        <v>3.053710770269738E-4</v>
      </c>
      <c r="Y23" s="172">
        <f>'Op Cost_FY2026'!B14/'Revenue Hours_FY2026'!B14</f>
        <v>58.488077496274215</v>
      </c>
      <c r="Z23" s="171">
        <f>'Op Cost_FY2026'!C14/'Revenue Hours_FY2026'!C14</f>
        <v>76.226136363636357</v>
      </c>
      <c r="AA23" s="171">
        <f>'Op Cost_FY2026'!D14/'Revenue Hours_FY2026'!D14</f>
        <v>100.44621513944223</v>
      </c>
      <c r="AB23" s="171">
        <f>'Op Cost_FY2026'!E14/'Revenue Hours_FY2026'!E14</f>
        <v>22.741307814992027</v>
      </c>
      <c r="AC23" s="174">
        <f t="shared" si="8"/>
        <v>0.90437497433822445</v>
      </c>
      <c r="AD23" s="169">
        <f t="shared" si="9"/>
        <v>2.333834805938948E-4</v>
      </c>
      <c r="AE23" s="173">
        <f t="shared" si="10"/>
        <v>2.3379822624354347E-4</v>
      </c>
      <c r="AF23" s="172">
        <f>'Op Cost_FY2026'!B14/'Revenue Miles_FY2026'!B14</f>
        <v>8.2535226077812833</v>
      </c>
      <c r="AG23" s="171">
        <f>'Op Cost_FY2026'!C14/'Revenue Miles_FY2026'!C14</f>
        <v>9.8980374797107871</v>
      </c>
      <c r="AH23" s="171">
        <f>'Op Cost_FY2026'!D14/'Revenue Miles_FY2026'!D14</f>
        <v>10.864899806076277</v>
      </c>
      <c r="AI23" s="171">
        <f>'Op Cost_FY2026'!E14/'Revenue Miles_FY2026'!E14</f>
        <v>6.1008043813109705</v>
      </c>
      <c r="AJ23" s="174">
        <f t="shared" si="11"/>
        <v>0.91713678138535648</v>
      </c>
      <c r="AK23" s="169">
        <f t="shared" si="12"/>
        <v>2.3013598795399828E-4</v>
      </c>
      <c r="AL23" s="173">
        <f t="shared" si="13"/>
        <v>2.3052466859995385E-4</v>
      </c>
      <c r="AM23" s="172">
        <f>'Op Cost_FY2026'!B14/'Ridership-FY2026'!B14</f>
        <v>57.798969072164951</v>
      </c>
      <c r="AN23" s="171">
        <f>'Op Cost_FY2026'!C14/'Ridership-FY2026'!C14</f>
        <v>22.352215928023991</v>
      </c>
      <c r="AO23" s="171">
        <f>'Op Cost_FY2026'!D14/'Ridership-FY2026'!D14</f>
        <v>16.033068362480126</v>
      </c>
      <c r="AP23" s="171">
        <f>'Op Cost_FY2026'!E14/'Ridership-FY2026'!E14</f>
        <v>11.419830209835014</v>
      </c>
      <c r="AQ23" s="170">
        <f t="shared" si="14"/>
        <v>0.66856560434544443</v>
      </c>
      <c r="AR23" s="169">
        <f t="shared" si="15"/>
        <v>3.1570002689520999E-4</v>
      </c>
      <c r="AS23" s="168">
        <f t="shared" si="16"/>
        <v>3.1754433675686725E-4</v>
      </c>
      <c r="AT23" s="167"/>
      <c r="AU23" s="166">
        <f t="shared" si="17"/>
        <v>0</v>
      </c>
      <c r="AV23" s="165">
        <f t="shared" si="18"/>
        <v>0</v>
      </c>
      <c r="AW23" s="165">
        <f t="shared" si="19"/>
        <v>0</v>
      </c>
      <c r="AX23" s="165">
        <f t="shared" si="20"/>
        <v>0</v>
      </c>
      <c r="AY23" s="164">
        <f t="shared" si="21"/>
        <v>0</v>
      </c>
      <c r="AZ23" s="163">
        <f t="shared" si="27"/>
        <v>-1</v>
      </c>
      <c r="BA23" s="162">
        <f t="shared" si="22"/>
        <v>0</v>
      </c>
      <c r="BB23" s="161">
        <f t="shared" si="22"/>
        <v>0</v>
      </c>
      <c r="BC23" s="161">
        <f t="shared" si="22"/>
        <v>0</v>
      </c>
      <c r="BD23" s="161">
        <f t="shared" si="22"/>
        <v>0</v>
      </c>
      <c r="BE23" s="161">
        <f t="shared" si="22"/>
        <v>0</v>
      </c>
      <c r="BF23" s="160">
        <f t="shared" si="28"/>
        <v>25405.956965368503</v>
      </c>
      <c r="BH23" s="159">
        <f>'Op Cost_FY2026'!E14</f>
        <v>71294</v>
      </c>
      <c r="BI23" s="158">
        <f t="shared" si="23"/>
        <v>0.35635476990165377</v>
      </c>
      <c r="BJ23" s="157">
        <f t="shared" si="24"/>
        <v>21388.2</v>
      </c>
      <c r="BK23" s="156">
        <f t="shared" si="25"/>
        <v>4017.7569653685023</v>
      </c>
      <c r="BM23" s="548">
        <f t="shared" si="29"/>
        <v>0.17560151320751477</v>
      </c>
      <c r="BN23" s="548">
        <f t="shared" si="30"/>
        <v>0.66421281743869121</v>
      </c>
      <c r="BO23" s="566">
        <f t="shared" si="31"/>
        <v>0.95864542731760105</v>
      </c>
      <c r="BP23" s="401">
        <f t="shared" si="26"/>
        <v>0</v>
      </c>
      <c r="BQ23" s="551">
        <f t="shared" si="32"/>
        <v>1.4548291432782854E-4</v>
      </c>
      <c r="BR23" s="552">
        <f t="shared" si="33"/>
        <v>0</v>
      </c>
      <c r="BS23" s="553">
        <f t="shared" si="34"/>
        <v>0</v>
      </c>
      <c r="BT23" s="540">
        <f t="shared" si="35"/>
        <v>21388.2</v>
      </c>
      <c r="BU23" s="540">
        <f t="shared" si="36"/>
        <v>21388.2</v>
      </c>
      <c r="BV23" s="540">
        <f t="shared" si="37"/>
        <v>21388.2</v>
      </c>
      <c r="BW23" s="540">
        <f t="shared" si="41"/>
        <v>0</v>
      </c>
      <c r="BX23" s="541">
        <f t="shared" si="38"/>
        <v>0</v>
      </c>
      <c r="BY23" s="542">
        <f t="shared" si="39"/>
        <v>0</v>
      </c>
      <c r="BZ23" s="563">
        <f t="shared" si="40"/>
        <v>21388.2</v>
      </c>
      <c r="CC23" s="147"/>
    </row>
    <row r="24" spans="1:81">
      <c r="A24" s="181" t="s">
        <v>104</v>
      </c>
      <c r="B24" s="180" t="s">
        <v>72</v>
      </c>
      <c r="C24" s="144"/>
      <c r="D24" s="179">
        <f>'Sizing - Reim Expen_FY2026'!B15</f>
        <v>7769877</v>
      </c>
      <c r="E24" s="178">
        <f>'Ridership-FY2026'!$E15</f>
        <v>1423486</v>
      </c>
      <c r="F24" s="178">
        <f>'Revenue Hours_FY2026'!$E15</f>
        <v>68607</v>
      </c>
      <c r="G24" s="178">
        <f>'Revenue Miles_FY2026'!$E15</f>
        <v>1127856</v>
      </c>
      <c r="H24" s="177">
        <f t="shared" si="0"/>
        <v>1.8926581211380963E-2</v>
      </c>
      <c r="I24" s="176">
        <f t="shared" si="1"/>
        <v>1.8926581211380963E-2</v>
      </c>
      <c r="J24" s="167"/>
      <c r="K24" s="175">
        <f>'Ridership-FY2026'!B15/'Revenue Hours_FY2026'!B15</f>
        <v>14.316342020333447</v>
      </c>
      <c r="L24" s="171">
        <f>'Ridership-FY2026'!C15/'Revenue Hours_FY2026'!C15</f>
        <v>19.466079261836335</v>
      </c>
      <c r="M24" s="171">
        <f>'Ridership-FY2026'!D15/'Revenue Hours_FY2026'!D15</f>
        <v>23.218467236227433</v>
      </c>
      <c r="N24" s="171">
        <f>'Ridership-FY2026'!E15/'Revenue Hours_FY2026'!E15</f>
        <v>20.748407596892445</v>
      </c>
      <c r="O24" s="174">
        <f t="shared" si="2"/>
        <v>0.96624846266131004</v>
      </c>
      <c r="P24" s="169">
        <f t="shared" si="3"/>
        <v>1.8287779998931289E-2</v>
      </c>
      <c r="Q24" s="173">
        <f t="shared" si="4"/>
        <v>1.7675017775886849E-2</v>
      </c>
      <c r="R24" s="172">
        <f>'Ridership-FY2026'!B15/'Revenue Miles_FY2026'!B15</f>
        <v>1.0462325686324412</v>
      </c>
      <c r="S24" s="171">
        <f>'Ridership-FY2026'!C15/'Revenue Miles_FY2026'!C15</f>
        <v>1.4050534441156883</v>
      </c>
      <c r="T24" s="171">
        <f>'Ridership-FY2026'!D15/'Revenue Miles_FY2026'!D15</f>
        <v>1.5050852081552479</v>
      </c>
      <c r="U24" s="171">
        <f>'Ridership-FY2026'!E15/'Revenue Miles_FY2026'!E15</f>
        <v>1.2621167950518506</v>
      </c>
      <c r="V24" s="174">
        <f t="shared" si="5"/>
        <v>0.91602143366124933</v>
      </c>
      <c r="W24" s="169">
        <f t="shared" si="6"/>
        <v>1.7337154055555255E-2</v>
      </c>
      <c r="X24" s="173">
        <f t="shared" si="7"/>
        <v>1.6779674396389319E-2</v>
      </c>
      <c r="Y24" s="172">
        <f>'Op Cost_FY2026'!B15/'Revenue Hours_FY2026'!B15</f>
        <v>90.654407919074401</v>
      </c>
      <c r="Z24" s="171">
        <f>'Op Cost_FY2026'!C15/'Revenue Hours_FY2026'!C15</f>
        <v>94.089194776382797</v>
      </c>
      <c r="AA24" s="171">
        <f>'Op Cost_FY2026'!D15/'Revenue Hours_FY2026'!D15</f>
        <v>110.97560428152575</v>
      </c>
      <c r="AB24" s="171">
        <f>'Op Cost_FY2026'!E15/'Revenue Hours_FY2026'!E15</f>
        <v>113.25195679741134</v>
      </c>
      <c r="AC24" s="174">
        <f t="shared" si="8"/>
        <v>1.0300295581458903</v>
      </c>
      <c r="AD24" s="169">
        <f t="shared" si="9"/>
        <v>1.8374794258768503E-2</v>
      </c>
      <c r="AE24" s="173">
        <f t="shared" si="10"/>
        <v>1.8407448095118104E-2</v>
      </c>
      <c r="AF24" s="172">
        <f>'Op Cost_FY2026'!B15/'Revenue Miles_FY2026'!B15</f>
        <v>6.6249879976545323</v>
      </c>
      <c r="AG24" s="171">
        <f>'Op Cost_FY2026'!C15/'Revenue Miles_FY2026'!C15</f>
        <v>6.7913186521237527</v>
      </c>
      <c r="AH24" s="171">
        <f>'Op Cost_FY2026'!D15/'Revenue Miles_FY2026'!D15</f>
        <v>7.1937453394685633</v>
      </c>
      <c r="AI24" s="171">
        <f>'Op Cost_FY2026'!E15/'Revenue Miles_FY2026'!E15</f>
        <v>6.8890682853130185</v>
      </c>
      <c r="AJ24" s="174">
        <f t="shared" si="11"/>
        <v>0.97398110528978188</v>
      </c>
      <c r="AK24" s="169">
        <f t="shared" si="12"/>
        <v>1.9432185191877893E-2</v>
      </c>
      <c r="AL24" s="173">
        <f t="shared" si="13"/>
        <v>1.9465004545164859E-2</v>
      </c>
      <c r="AM24" s="172">
        <f>'Op Cost_FY2026'!B15/'Ridership-FY2026'!B15</f>
        <v>6.3322326185221254</v>
      </c>
      <c r="AN24" s="171">
        <f>'Op Cost_FY2026'!C15/'Ridership-FY2026'!C15</f>
        <v>4.833494896984555</v>
      </c>
      <c r="AO24" s="171">
        <f>'Op Cost_FY2026'!D15/'Ridership-FY2026'!D15</f>
        <v>4.779626628771263</v>
      </c>
      <c r="AP24" s="171">
        <f>'Op Cost_FY2026'!E15/'Ridership-FY2026'!E15</f>
        <v>5.4583445148037981</v>
      </c>
      <c r="AQ24" s="174">
        <f t="shared" si="14"/>
        <v>1.0742638725165357</v>
      </c>
      <c r="AR24" s="169">
        <f t="shared" si="15"/>
        <v>1.7618186458271345E-2</v>
      </c>
      <c r="AS24" s="168">
        <f t="shared" si="16"/>
        <v>1.7721111362488384E-2</v>
      </c>
      <c r="AT24" s="167"/>
      <c r="AU24" s="166">
        <f t="shared" si="17"/>
        <v>0</v>
      </c>
      <c r="AV24" s="165">
        <f t="shared" si="18"/>
        <v>0</v>
      </c>
      <c r="AW24" s="165">
        <f t="shared" si="19"/>
        <v>0</v>
      </c>
      <c r="AX24" s="165">
        <f t="shared" si="20"/>
        <v>0</v>
      </c>
      <c r="AY24" s="164">
        <f t="shared" si="21"/>
        <v>0</v>
      </c>
      <c r="AZ24" s="163">
        <f t="shared" si="27"/>
        <v>-1</v>
      </c>
      <c r="BA24" s="162">
        <f t="shared" si="22"/>
        <v>0</v>
      </c>
      <c r="BB24" s="161">
        <f t="shared" si="22"/>
        <v>0</v>
      </c>
      <c r="BC24" s="161">
        <f t="shared" si="22"/>
        <v>0</v>
      </c>
      <c r="BD24" s="161">
        <f t="shared" si="22"/>
        <v>0</v>
      </c>
      <c r="BE24" s="161">
        <f t="shared" si="22"/>
        <v>0</v>
      </c>
      <c r="BF24" s="160">
        <f t="shared" si="28"/>
        <v>2278185.4933555918</v>
      </c>
      <c r="BH24" s="159">
        <f>'Op Cost_FY2026'!E15</f>
        <v>7769877</v>
      </c>
      <c r="BI24" s="158">
        <f t="shared" si="23"/>
        <v>0.29320740770485709</v>
      </c>
      <c r="BJ24" s="157">
        <f t="shared" si="24"/>
        <v>2278185.4933555918</v>
      </c>
      <c r="BK24" s="156">
        <f t="shared" si="25"/>
        <v>0</v>
      </c>
      <c r="BM24" s="548">
        <f t="shared" si="29"/>
        <v>1.8296045652764708</v>
      </c>
      <c r="BN24" s="548">
        <f t="shared" si="30"/>
        <v>1.5692037777815557</v>
      </c>
      <c r="BO24" s="566">
        <f t="shared" si="31"/>
        <v>2.0056572064497566</v>
      </c>
      <c r="BP24" s="401">
        <f t="shared" si="26"/>
        <v>2278185.4933555918</v>
      </c>
      <c r="BQ24" s="551">
        <f t="shared" si="32"/>
        <v>3.5062072531733122E-2</v>
      </c>
      <c r="BR24" s="552">
        <f t="shared" si="33"/>
        <v>3.5062072531733122E-2</v>
      </c>
      <c r="BS24" s="553">
        <f t="shared" si="34"/>
        <v>3.6866753399082471E-2</v>
      </c>
      <c r="BT24" s="540">
        <f t="shared" si="35"/>
        <v>2554109.3501532376</v>
      </c>
      <c r="BU24" s="540">
        <f t="shared" si="36"/>
        <v>2330963.1</v>
      </c>
      <c r="BV24" s="540">
        <f t="shared" si="37"/>
        <v>2330963.1</v>
      </c>
      <c r="BW24" s="540">
        <f t="shared" si="41"/>
        <v>223146.25015323749</v>
      </c>
      <c r="BX24" s="541">
        <f t="shared" si="38"/>
        <v>0</v>
      </c>
      <c r="BY24" s="542">
        <f t="shared" si="39"/>
        <v>0</v>
      </c>
      <c r="BZ24" s="563">
        <f t="shared" si="40"/>
        <v>2330963.1</v>
      </c>
      <c r="CC24" s="147"/>
    </row>
    <row r="25" spans="1:81">
      <c r="A25" s="181" t="s">
        <v>53</v>
      </c>
      <c r="B25" s="180" t="s">
        <v>73</v>
      </c>
      <c r="C25" s="144"/>
      <c r="D25" s="179">
        <f>'Sizing - Reim Expen_FY2026'!B16</f>
        <v>4067447</v>
      </c>
      <c r="E25" s="178">
        <f>'Ridership-FY2026'!$E16</f>
        <v>259346</v>
      </c>
      <c r="F25" s="178">
        <f>'Revenue Hours_FY2026'!$E16</f>
        <v>34940</v>
      </c>
      <c r="G25" s="178">
        <f>'Revenue Miles_FY2026'!$E16</f>
        <v>565576</v>
      </c>
      <c r="H25" s="182">
        <f t="shared" si="0"/>
        <v>6.6175802316312017E-3</v>
      </c>
      <c r="I25" s="176">
        <f t="shared" si="1"/>
        <v>6.6175802316312017E-3</v>
      </c>
      <c r="J25" s="167"/>
      <c r="K25" s="175">
        <f>'Ridership-FY2026'!B16/'Revenue Hours_FY2026'!B16</f>
        <v>5.7639186016175321</v>
      </c>
      <c r="L25" s="171">
        <f>'Ridership-FY2026'!C16/'Revenue Hours_FY2026'!C16</f>
        <v>6.4797153630255435</v>
      </c>
      <c r="M25" s="171">
        <f>'Ridership-FY2026'!D16/'Revenue Hours_FY2026'!D16</f>
        <v>7.8693923906871097</v>
      </c>
      <c r="N25" s="171">
        <f>'Ridership-FY2026'!E16/'Revenue Hours_FY2026'!E16</f>
        <v>7.4226101888952494</v>
      </c>
      <c r="O25" s="174">
        <f t="shared" si="2"/>
        <v>0.92653452379767975</v>
      </c>
      <c r="P25" s="169">
        <f t="shared" si="3"/>
        <v>6.1314165486073546E-3</v>
      </c>
      <c r="Q25" s="173">
        <f t="shared" si="4"/>
        <v>5.9259733272346302E-3</v>
      </c>
      <c r="R25" s="172">
        <f>'Ridership-FY2026'!B16/'Revenue Miles_FY2026'!B16</f>
        <v>0.39323250859241093</v>
      </c>
      <c r="S25" s="171">
        <f>'Ridership-FY2026'!C16/'Revenue Miles_FY2026'!C16</f>
        <v>0.42963025620782347</v>
      </c>
      <c r="T25" s="171">
        <f>'Ridership-FY2026'!D16/'Revenue Miles_FY2026'!D16</f>
        <v>0.50038763229943484</v>
      </c>
      <c r="U25" s="171">
        <f>'Ridership-FY2026'!E16/'Revenue Miles_FY2026'!E16</f>
        <v>0.45855198947621539</v>
      </c>
      <c r="V25" s="174">
        <f t="shared" si="5"/>
        <v>0.89996760816377319</v>
      </c>
      <c r="W25" s="169">
        <f t="shared" si="6"/>
        <v>5.9556078528930009E-3</v>
      </c>
      <c r="X25" s="173">
        <f t="shared" si="7"/>
        <v>5.7641040902040542E-3</v>
      </c>
      <c r="Y25" s="172">
        <f>'Op Cost_FY2026'!B16/'Revenue Hours_FY2026'!B16</f>
        <v>72.997808505087406</v>
      </c>
      <c r="Z25" s="171">
        <f>'Op Cost_FY2026'!C16/'Revenue Hours_FY2026'!C16</f>
        <v>89.842457403679873</v>
      </c>
      <c r="AA25" s="171">
        <f>'Op Cost_FY2026'!D16/'Revenue Hours_FY2026'!D16</f>
        <v>122.89167251227578</v>
      </c>
      <c r="AB25" s="171">
        <f>'Op Cost_FY2026'!E16/'Revenue Hours_FY2026'!E16</f>
        <v>116.41233543216943</v>
      </c>
      <c r="AC25" s="174">
        <f t="shared" si="8"/>
        <v>1.1275204801752217</v>
      </c>
      <c r="AD25" s="169">
        <f t="shared" si="9"/>
        <v>5.8691441512466365E-3</v>
      </c>
      <c r="AE25" s="173">
        <f t="shared" si="10"/>
        <v>5.879574203955149E-3</v>
      </c>
      <c r="AF25" s="172">
        <f>'Op Cost_FY2026'!B16/'Revenue Miles_FY2026'!B16</f>
        <v>4.9801382261276927</v>
      </c>
      <c r="AG25" s="171">
        <f>'Op Cost_FY2026'!C16/'Revenue Miles_FY2026'!C16</f>
        <v>5.9569033252504751</v>
      </c>
      <c r="AH25" s="171">
        <f>'Op Cost_FY2026'!D16/'Revenue Miles_FY2026'!D16</f>
        <v>7.8142593461864411</v>
      </c>
      <c r="AI25" s="171">
        <f>'Op Cost_FY2026'!E16/'Revenue Miles_FY2026'!E16</f>
        <v>7.1916895342093721</v>
      </c>
      <c r="AJ25" s="174">
        <f t="shared" si="11"/>
        <v>1.0962426841958166</v>
      </c>
      <c r="AK25" s="169">
        <f t="shared" si="12"/>
        <v>6.0366014998638152E-3</v>
      </c>
      <c r="AL25" s="173">
        <f t="shared" si="13"/>
        <v>6.0467968204271179E-3</v>
      </c>
      <c r="AM25" s="172">
        <f>'Op Cost_FY2026'!B16/'Ridership-FY2026'!B16</f>
        <v>12.664614743969837</v>
      </c>
      <c r="AN25" s="171">
        <f>'Op Cost_FY2026'!C16/'Ridership-FY2026'!C16</f>
        <v>13.865185794477576</v>
      </c>
      <c r="AO25" s="171">
        <f>'Op Cost_FY2026'!D16/'Ridership-FY2026'!D16</f>
        <v>15.616411841111102</v>
      </c>
      <c r="AP25" s="171">
        <f>'Op Cost_FY2026'!E16/'Ridership-FY2026'!E16</f>
        <v>15.683476899585882</v>
      </c>
      <c r="AQ25" s="170">
        <f t="shared" si="14"/>
        <v>1.21686915565862</v>
      </c>
      <c r="AR25" s="169">
        <f t="shared" si="15"/>
        <v>5.4382019635048542E-3</v>
      </c>
      <c r="AS25" s="168">
        <f t="shared" si="16"/>
        <v>5.4699717723630109E-3</v>
      </c>
      <c r="AT25" s="167"/>
      <c r="AU25" s="166">
        <f t="shared" si="17"/>
        <v>0</v>
      </c>
      <c r="AV25" s="165">
        <f t="shared" si="18"/>
        <v>0</v>
      </c>
      <c r="AW25" s="165">
        <f t="shared" si="19"/>
        <v>0</v>
      </c>
      <c r="AX25" s="165">
        <f t="shared" si="20"/>
        <v>0</v>
      </c>
      <c r="AY25" s="164">
        <f t="shared" si="21"/>
        <v>0</v>
      </c>
      <c r="AZ25" s="163">
        <f t="shared" si="27"/>
        <v>-1</v>
      </c>
      <c r="BA25" s="162">
        <f t="shared" si="22"/>
        <v>0</v>
      </c>
      <c r="BB25" s="161">
        <f t="shared" si="22"/>
        <v>0</v>
      </c>
      <c r="BC25" s="161">
        <f t="shared" si="22"/>
        <v>0</v>
      </c>
      <c r="BD25" s="161">
        <f t="shared" si="22"/>
        <v>0</v>
      </c>
      <c r="BE25" s="161">
        <f t="shared" si="22"/>
        <v>0</v>
      </c>
      <c r="BF25" s="160">
        <f t="shared" si="28"/>
        <v>796555.65452852997</v>
      </c>
      <c r="BH25" s="159">
        <f>'Op Cost_FY2026'!E16</f>
        <v>4067447</v>
      </c>
      <c r="BI25" s="158">
        <f t="shared" si="23"/>
        <v>0.19583676309206485</v>
      </c>
      <c r="BJ25" s="157">
        <f t="shared" si="24"/>
        <v>796555.65452852997</v>
      </c>
      <c r="BK25" s="156">
        <f t="shared" si="25"/>
        <v>0</v>
      </c>
      <c r="BM25" s="548">
        <f t="shared" si="29"/>
        <v>0.65452933794805446</v>
      </c>
      <c r="BN25" s="548">
        <f t="shared" si="30"/>
        <v>0.57012276281908136</v>
      </c>
      <c r="BO25" s="566">
        <f t="shared" si="31"/>
        <v>0.69803195308629595</v>
      </c>
      <c r="BP25" s="401">
        <f t="shared" si="26"/>
        <v>796555.65452852997</v>
      </c>
      <c r="BQ25" s="551">
        <f t="shared" si="32"/>
        <v>4.3356996100609507E-3</v>
      </c>
      <c r="BR25" s="552">
        <f t="shared" si="33"/>
        <v>4.3356996100609507E-3</v>
      </c>
      <c r="BS25" s="553">
        <f t="shared" si="34"/>
        <v>4.5588625199479626E-3</v>
      </c>
      <c r="BT25" s="540">
        <f t="shared" si="35"/>
        <v>830675.79837459978</v>
      </c>
      <c r="BU25" s="540">
        <f t="shared" si="36"/>
        <v>1220234.0999999999</v>
      </c>
      <c r="BV25" s="540">
        <f t="shared" si="37"/>
        <v>830675.79837459978</v>
      </c>
      <c r="BW25" s="540">
        <f t="shared" si="41"/>
        <v>0</v>
      </c>
      <c r="BX25" s="541">
        <f t="shared" si="38"/>
        <v>4.3356996100609507E-3</v>
      </c>
      <c r="BY25" s="542">
        <f t="shared" si="39"/>
        <v>4.9091860804473114E-3</v>
      </c>
      <c r="BZ25" s="563">
        <f t="shared" si="40"/>
        <v>832038.29954504629</v>
      </c>
      <c r="CC25" s="147"/>
    </row>
    <row r="26" spans="1:81">
      <c r="A26" s="181" t="s">
        <v>53</v>
      </c>
      <c r="B26" s="180" t="s">
        <v>74</v>
      </c>
      <c r="C26" s="144"/>
      <c r="D26" s="179">
        <f>'Sizing - Reim Expen_FY2026'!B17</f>
        <v>698366</v>
      </c>
      <c r="E26" s="178">
        <f>'Ridership-FY2026'!$E17</f>
        <v>96178</v>
      </c>
      <c r="F26" s="178">
        <f>'Revenue Hours_FY2026'!$E17</f>
        <v>11193</v>
      </c>
      <c r="G26" s="178">
        <f>'Revenue Miles_FY2026'!$E17</f>
        <v>168612</v>
      </c>
      <c r="H26" s="182">
        <f t="shared" si="0"/>
        <v>1.8055633828733177E-3</v>
      </c>
      <c r="I26" s="176">
        <f t="shared" si="1"/>
        <v>1.8055633828733177E-3</v>
      </c>
      <c r="J26" s="167"/>
      <c r="K26" s="175">
        <f>'Ridership-FY2026'!B17/'Revenue Hours_FY2026'!B17</f>
        <v>6.5520235467255334</v>
      </c>
      <c r="L26" s="171">
        <f>'Ridership-FY2026'!C17/'Revenue Hours_FY2026'!C17</f>
        <v>6.5625580805947452</v>
      </c>
      <c r="M26" s="171">
        <f>'Ridership-FY2026'!D17/'Revenue Hours_FY2026'!D17</f>
        <v>7.7980103806228378</v>
      </c>
      <c r="N26" s="171">
        <f>'Ridership-FY2026'!E17/'Revenue Hours_FY2026'!E17</f>
        <v>8.5926918609845444</v>
      </c>
      <c r="O26" s="174">
        <f t="shared" si="2"/>
        <v>0.93668954813722882</v>
      </c>
      <c r="P26" s="169">
        <f t="shared" si="3"/>
        <v>1.6912523492367342E-3</v>
      </c>
      <c r="Q26" s="173">
        <f t="shared" si="4"/>
        <v>1.6345841506195157E-3</v>
      </c>
      <c r="R26" s="172">
        <f>'Ridership-FY2026'!B17/'Revenue Miles_FY2026'!B17</f>
        <v>0.47317713453679738</v>
      </c>
      <c r="S26" s="171">
        <f>'Ridership-FY2026'!C17/'Revenue Miles_FY2026'!C17</f>
        <v>0.44629120011030743</v>
      </c>
      <c r="T26" s="171">
        <f>'Ridership-FY2026'!D17/'Revenue Miles_FY2026'!D17</f>
        <v>0.52648024202497345</v>
      </c>
      <c r="U26" s="171">
        <f>'Ridership-FY2026'!E17/'Revenue Miles_FY2026'!E17</f>
        <v>0.57041017246696557</v>
      </c>
      <c r="V26" s="174">
        <f t="shared" si="5"/>
        <v>0.91643691347378609</v>
      </c>
      <c r="W26" s="169">
        <f t="shared" si="6"/>
        <v>1.6546849336817112E-3</v>
      </c>
      <c r="X26" s="173">
        <f t="shared" si="7"/>
        <v>1.6014782084083487E-3</v>
      </c>
      <c r="Y26" s="172">
        <f>'Op Cost_FY2026'!B17/'Revenue Hours_FY2026'!B17</f>
        <v>45.519278881530539</v>
      </c>
      <c r="Z26" s="171">
        <f>'Op Cost_FY2026'!C17/'Revenue Hours_FY2026'!C17</f>
        <v>51.194390470558417</v>
      </c>
      <c r="AA26" s="171">
        <f>'Op Cost_FY2026'!D17/'Revenue Hours_FY2026'!D17</f>
        <v>60.816435986159171</v>
      </c>
      <c r="AB26" s="171">
        <f>'Op Cost_FY2026'!E17/'Revenue Hours_FY2026'!E17</f>
        <v>62.393102832127219</v>
      </c>
      <c r="AC26" s="174">
        <f t="shared" si="8"/>
        <v>1.0630086809606323</v>
      </c>
      <c r="AD26" s="169">
        <f t="shared" si="9"/>
        <v>1.6985405812882401E-3</v>
      </c>
      <c r="AE26" s="173">
        <f t="shared" si="10"/>
        <v>1.7015590567820856E-3</v>
      </c>
      <c r="AF26" s="172">
        <f>'Op Cost_FY2026'!B17/'Revenue Miles_FY2026'!B17</f>
        <v>3.2873328054671349</v>
      </c>
      <c r="AG26" s="171">
        <f>'Op Cost_FY2026'!C17/'Revenue Miles_FY2026'!C17</f>
        <v>3.4815091434513583</v>
      </c>
      <c r="AH26" s="171">
        <f>'Op Cost_FY2026'!D17/'Revenue Miles_FY2026'!D17</f>
        <v>4.1060027332936189</v>
      </c>
      <c r="AI26" s="171">
        <f>'Op Cost_FY2026'!E17/'Revenue Miles_FY2026'!E17</f>
        <v>4.1418522999549259</v>
      </c>
      <c r="AJ26" s="174">
        <f t="shared" si="11"/>
        <v>1.0382731642613201</v>
      </c>
      <c r="AK26" s="169">
        <f t="shared" si="12"/>
        <v>1.7390061161388936E-3</v>
      </c>
      <c r="AL26" s="173">
        <f t="shared" si="13"/>
        <v>1.7419431536120447E-3</v>
      </c>
      <c r="AM26" s="172">
        <f>'Op Cost_FY2026'!B17/'Ridership-FY2026'!B17</f>
        <v>6.9473619190943596</v>
      </c>
      <c r="AN26" s="171">
        <f>'Op Cost_FY2026'!C17/'Ridership-FY2026'!C17</f>
        <v>7.8009809348489334</v>
      </c>
      <c r="AO26" s="171">
        <f>'Op Cost_FY2026'!D17/'Ridership-FY2026'!D17</f>
        <v>7.7989683288035945</v>
      </c>
      <c r="AP26" s="171">
        <f>'Op Cost_FY2026'!E17/'Ridership-FY2026'!E17</f>
        <v>7.261182390983385</v>
      </c>
      <c r="AQ26" s="170">
        <f t="shared" si="14"/>
        <v>1.1577327465899605</v>
      </c>
      <c r="AR26" s="169">
        <f t="shared" si="15"/>
        <v>1.559568378964409E-3</v>
      </c>
      <c r="AS26" s="168">
        <f t="shared" si="16"/>
        <v>1.5686793295384093E-3</v>
      </c>
      <c r="AT26" s="167"/>
      <c r="AU26" s="166">
        <f t="shared" si="17"/>
        <v>0</v>
      </c>
      <c r="AV26" s="165">
        <f t="shared" si="18"/>
        <v>0</v>
      </c>
      <c r="AW26" s="165">
        <f t="shared" si="19"/>
        <v>0</v>
      </c>
      <c r="AX26" s="165">
        <f t="shared" si="20"/>
        <v>0</v>
      </c>
      <c r="AY26" s="164">
        <f t="shared" si="21"/>
        <v>0</v>
      </c>
      <c r="AZ26" s="163">
        <f t="shared" si="27"/>
        <v>-1</v>
      </c>
      <c r="BA26" s="162">
        <f t="shared" si="22"/>
        <v>0</v>
      </c>
      <c r="BB26" s="161">
        <f t="shared" si="22"/>
        <v>0</v>
      </c>
      <c r="BC26" s="161">
        <f t="shared" si="22"/>
        <v>0</v>
      </c>
      <c r="BD26" s="161">
        <f t="shared" si="22"/>
        <v>0</v>
      </c>
      <c r="BE26" s="161">
        <f t="shared" si="22"/>
        <v>0</v>
      </c>
      <c r="BF26" s="160">
        <f t="shared" si="28"/>
        <v>217334.98830325252</v>
      </c>
      <c r="BH26" s="159">
        <f>'Op Cost_FY2026'!E17</f>
        <v>698366</v>
      </c>
      <c r="BI26" s="158">
        <f t="shared" si="23"/>
        <v>0.31120499609553232</v>
      </c>
      <c r="BJ26" s="157">
        <f t="shared" si="24"/>
        <v>209509.8</v>
      </c>
      <c r="BK26" s="156">
        <f t="shared" si="25"/>
        <v>7825.1883032525366</v>
      </c>
      <c r="BM26" s="548">
        <f t="shared" si="29"/>
        <v>0.75770770279382382</v>
      </c>
      <c r="BN26" s="548">
        <f t="shared" si="30"/>
        <v>0.70919727954608103</v>
      </c>
      <c r="BO26" s="566">
        <f t="shared" si="31"/>
        <v>1.5076839310627899</v>
      </c>
      <c r="BP26" s="401">
        <f t="shared" si="26"/>
        <v>0</v>
      </c>
      <c r="BQ26" s="551">
        <f t="shared" si="32"/>
        <v>2.0232569300035769E-3</v>
      </c>
      <c r="BR26" s="552">
        <f t="shared" si="33"/>
        <v>0</v>
      </c>
      <c r="BS26" s="553">
        <f t="shared" si="34"/>
        <v>0</v>
      </c>
      <c r="BT26" s="540">
        <f t="shared" si="35"/>
        <v>209509.8</v>
      </c>
      <c r="BU26" s="540">
        <f t="shared" si="36"/>
        <v>209509.8</v>
      </c>
      <c r="BV26" s="540">
        <f t="shared" si="37"/>
        <v>209509.8</v>
      </c>
      <c r="BW26" s="540">
        <f>BT26-BV26</f>
        <v>0</v>
      </c>
      <c r="BX26" s="541">
        <f t="shared" si="38"/>
        <v>0</v>
      </c>
      <c r="BY26" s="542">
        <f t="shared" si="39"/>
        <v>0</v>
      </c>
      <c r="BZ26" s="563">
        <f t="shared" si="40"/>
        <v>209509.8</v>
      </c>
      <c r="CC26" s="147"/>
    </row>
    <row r="27" spans="1:81">
      <c r="A27" s="181" t="s">
        <v>53</v>
      </c>
      <c r="B27" s="180" t="s">
        <v>75</v>
      </c>
      <c r="C27" s="144"/>
      <c r="D27" s="179">
        <f>'Sizing - Reim Expen_FY2026'!B18</f>
        <v>8378754</v>
      </c>
      <c r="E27" s="178">
        <f>'Ridership-FY2026'!$E18</f>
        <v>585649</v>
      </c>
      <c r="F27" s="178">
        <f>'Revenue Hours_FY2026'!$E18</f>
        <v>80007.260000000009</v>
      </c>
      <c r="G27" s="178">
        <f>'Revenue Miles_FY2026'!$E18</f>
        <v>1157573.97</v>
      </c>
      <c r="H27" s="182">
        <f t="shared" si="0"/>
        <v>1.4211123404390978E-2</v>
      </c>
      <c r="I27" s="176">
        <f t="shared" si="1"/>
        <v>1.4211123404390978E-2</v>
      </c>
      <c r="J27" s="167"/>
      <c r="K27" s="175">
        <f>'Ridership-FY2026'!B18/'Revenue Hours_FY2026'!B18</f>
        <v>6.2106387495687709</v>
      </c>
      <c r="L27" s="171">
        <f>'Ridership-FY2026'!C18/'Revenue Hours_FY2026'!C18</f>
        <v>5.9993407953505891</v>
      </c>
      <c r="M27" s="171">
        <f>'Ridership-FY2026'!D18/'Revenue Hours_FY2026'!D18</f>
        <v>6.5244789507405869</v>
      </c>
      <c r="N27" s="171">
        <f>'Ridership-FY2026'!E18/'Revenue Hours_FY2026'!E18</f>
        <v>7.3199482146995152</v>
      </c>
      <c r="O27" s="174">
        <f t="shared" si="2"/>
        <v>0.90539464268492109</v>
      </c>
      <c r="P27" s="169">
        <f t="shared" si="3"/>
        <v>1.2866674996869889E-2</v>
      </c>
      <c r="Q27" s="173">
        <f t="shared" si="4"/>
        <v>1.2435555835619422E-2</v>
      </c>
      <c r="R27" s="172">
        <f>'Ridership-FY2026'!B18/'Revenue Miles_FY2026'!B18</f>
        <v>0.43710720015539234</v>
      </c>
      <c r="S27" s="171">
        <f>'Ridership-FY2026'!C18/'Revenue Miles_FY2026'!C18</f>
        <v>0.41539215330115964</v>
      </c>
      <c r="T27" s="171">
        <f>'Ridership-FY2026'!D18/'Revenue Miles_FY2026'!D18</f>
        <v>0.45126387982562621</v>
      </c>
      <c r="U27" s="171">
        <f>'Ridership-FY2026'!E18/'Revenue Miles_FY2026'!E18</f>
        <v>0.50592792787142582</v>
      </c>
      <c r="V27" s="174">
        <f t="shared" si="5"/>
        <v>0.90393113365152045</v>
      </c>
      <c r="W27" s="169">
        <f t="shared" si="6"/>
        <v>1.2845876889392791E-2</v>
      </c>
      <c r="X27" s="173">
        <f t="shared" si="7"/>
        <v>1.2432815146557806E-2</v>
      </c>
      <c r="Y27" s="172">
        <f>'Op Cost_FY2026'!B18/'Revenue Hours_FY2026'!B18</f>
        <v>88.890998593530242</v>
      </c>
      <c r="Z27" s="171">
        <f>'Op Cost_FY2026'!C18/'Revenue Hours_FY2026'!C18</f>
        <v>103.53699617930367</v>
      </c>
      <c r="AA27" s="171">
        <f>'Op Cost_FY2026'!D18/'Revenue Hours_FY2026'!D18</f>
        <v>108.98527619693715</v>
      </c>
      <c r="AB27" s="171">
        <f>'Op Cost_FY2026'!E18/'Revenue Hours_FY2026'!E18</f>
        <v>112.5272881486005</v>
      </c>
      <c r="AC27" s="174">
        <f t="shared" si="8"/>
        <v>1.0371555930389649</v>
      </c>
      <c r="AD27" s="169">
        <f t="shared" si="9"/>
        <v>1.3702016842768045E-2</v>
      </c>
      <c r="AE27" s="173">
        <f t="shared" si="10"/>
        <v>1.3726366689048895E-2</v>
      </c>
      <c r="AF27" s="172">
        <f>'Op Cost_FY2026'!B18/'Revenue Miles_FY2026'!B18</f>
        <v>6.2561834749980854</v>
      </c>
      <c r="AG27" s="171">
        <f>'Op Cost_FY2026'!C18/'Revenue Miles_FY2026'!C18</f>
        <v>7.168863589577354</v>
      </c>
      <c r="AH27" s="171">
        <f>'Op Cost_FY2026'!D18/'Revenue Miles_FY2026'!D18</f>
        <v>7.537938117635405</v>
      </c>
      <c r="AI27" s="171">
        <f>'Op Cost_FY2026'!E18/'Revenue Miles_FY2026'!E18</f>
        <v>7.7774727432753172</v>
      </c>
      <c r="AJ27" s="174">
        <f t="shared" si="11"/>
        <v>1.0360687752653082</v>
      </c>
      <c r="AK27" s="169">
        <f t="shared" si="12"/>
        <v>1.3716390015471615E-2</v>
      </c>
      <c r="AL27" s="173">
        <f t="shared" si="13"/>
        <v>1.3739555863537315E-2</v>
      </c>
      <c r="AM27" s="172">
        <f>'Op Cost_FY2026'!B18/'Ridership-FY2026'!B18</f>
        <v>14.312698287225656</v>
      </c>
      <c r="AN27" s="171">
        <f>'Op Cost_FY2026'!C18/'Ridership-FY2026'!C18</f>
        <v>17.258062129016487</v>
      </c>
      <c r="AO27" s="171">
        <f>'Op Cost_FY2026'!D18/'Ridership-FY2026'!D18</f>
        <v>16.704058212122263</v>
      </c>
      <c r="AP27" s="171">
        <f>'Op Cost_FY2026'!E18/'Ridership-FY2026'!E18</f>
        <v>15.372689102175535</v>
      </c>
      <c r="AQ27" s="174">
        <f t="shared" si="14"/>
        <v>1.1776106082937341</v>
      </c>
      <c r="AR27" s="169">
        <f t="shared" si="15"/>
        <v>1.2067761027545249E-2</v>
      </c>
      <c r="AS27" s="168">
        <f t="shared" si="16"/>
        <v>1.2138260516855119E-2</v>
      </c>
      <c r="AT27" s="167"/>
      <c r="AU27" s="166">
        <f t="shared" si="17"/>
        <v>0</v>
      </c>
      <c r="AV27" s="165">
        <f t="shared" si="18"/>
        <v>0</v>
      </c>
      <c r="AW27" s="165">
        <f t="shared" si="19"/>
        <v>0</v>
      </c>
      <c r="AX27" s="165">
        <f t="shared" si="20"/>
        <v>0</v>
      </c>
      <c r="AY27" s="164">
        <f t="shared" si="21"/>
        <v>0</v>
      </c>
      <c r="AZ27" s="163">
        <f t="shared" si="27"/>
        <v>-1</v>
      </c>
      <c r="BA27" s="162">
        <f t="shared" si="22"/>
        <v>0</v>
      </c>
      <c r="BB27" s="161">
        <f t="shared" si="22"/>
        <v>0</v>
      </c>
      <c r="BC27" s="161">
        <f t="shared" si="22"/>
        <v>0</v>
      </c>
      <c r="BD27" s="161">
        <f t="shared" si="22"/>
        <v>0</v>
      </c>
      <c r="BE27" s="161">
        <f t="shared" si="22"/>
        <v>0</v>
      </c>
      <c r="BF27" s="160">
        <f t="shared" si="28"/>
        <v>1710587.6028313832</v>
      </c>
      <c r="BH27" s="159">
        <f>'Op Cost_FY2026'!E18</f>
        <v>9003000</v>
      </c>
      <c r="BI27" s="158">
        <f t="shared" si="23"/>
        <v>0.19000195521841423</v>
      </c>
      <c r="BJ27" s="157">
        <f t="shared" si="24"/>
        <v>1710587.6028313832</v>
      </c>
      <c r="BK27" s="156">
        <f t="shared" si="25"/>
        <v>0</v>
      </c>
      <c r="BM27" s="548">
        <f t="shared" si="29"/>
        <v>0.64547655566624973</v>
      </c>
      <c r="BN27" s="548">
        <f t="shared" si="30"/>
        <v>0.62902579128457003</v>
      </c>
      <c r="BO27" s="566">
        <f t="shared" si="31"/>
        <v>0.7121439807074772</v>
      </c>
      <c r="BP27" s="401">
        <f t="shared" si="26"/>
        <v>1710587.6028313832</v>
      </c>
      <c r="BQ27" s="551">
        <f t="shared" si="32"/>
        <v>9.5882105286900984E-3</v>
      </c>
      <c r="BR27" s="552">
        <f t="shared" si="33"/>
        <v>9.5882105286900984E-3</v>
      </c>
      <c r="BS27" s="553">
        <f t="shared" si="34"/>
        <v>1.0081725567699382E-2</v>
      </c>
      <c r="BT27" s="540">
        <f t="shared" si="35"/>
        <v>1786042.8123450119</v>
      </c>
      <c r="BU27" s="540">
        <f t="shared" si="36"/>
        <v>2700900</v>
      </c>
      <c r="BV27" s="540">
        <f t="shared" si="37"/>
        <v>1786042.8123450119</v>
      </c>
      <c r="BW27" s="540">
        <f t="shared" si="41"/>
        <v>0</v>
      </c>
      <c r="BX27" s="541">
        <f t="shared" si="38"/>
        <v>9.5882105286900984E-3</v>
      </c>
      <c r="BY27" s="542">
        <f t="shared" si="39"/>
        <v>1.085645083774198E-2</v>
      </c>
      <c r="BZ27" s="563">
        <f t="shared" si="40"/>
        <v>1789055.9242399209</v>
      </c>
      <c r="CC27" s="147"/>
    </row>
    <row r="28" spans="1:81">
      <c r="A28" s="181" t="s">
        <v>53</v>
      </c>
      <c r="B28" s="180" t="s">
        <v>76</v>
      </c>
      <c r="C28" s="144"/>
      <c r="D28" s="179">
        <f>'Sizing - Reim Expen_FY2026'!B19</f>
        <v>165710</v>
      </c>
      <c r="E28" s="178">
        <f>'Ridership-FY2026'!$E19</f>
        <v>15318</v>
      </c>
      <c r="F28" s="178">
        <f>'Revenue Hours_FY2026'!$E19</f>
        <v>3004</v>
      </c>
      <c r="G28" s="178">
        <f>'Revenue Miles_FY2026'!$E19</f>
        <v>50699</v>
      </c>
      <c r="H28" s="177">
        <f t="shared" si="0"/>
        <v>4.1441029273910611E-4</v>
      </c>
      <c r="I28" s="176">
        <f t="shared" si="1"/>
        <v>4.1441029273910611E-4</v>
      </c>
      <c r="J28" s="167"/>
      <c r="K28" s="175">
        <f>'Ridership-FY2026'!B19/'Revenue Hours_FY2026'!B19</f>
        <v>4.686815011624045</v>
      </c>
      <c r="L28" s="171">
        <f>'Ridership-FY2026'!C19/'Revenue Hours_FY2026'!C19</f>
        <v>4.8892540256325994</v>
      </c>
      <c r="M28" s="171">
        <f>'Ridership-FY2026'!D19/'Revenue Hours_FY2026'!D19</f>
        <v>4.7219286657859971</v>
      </c>
      <c r="N28" s="171">
        <f>'Ridership-FY2026'!E19/'Revenue Hours_FY2026'!E19</f>
        <v>5.099201065246338</v>
      </c>
      <c r="O28" s="174">
        <f t="shared" si="2"/>
        <v>0.87823638966897821</v>
      </c>
      <c r="P28" s="169">
        <f t="shared" si="3"/>
        <v>3.639501993368569E-4</v>
      </c>
      <c r="Q28" s="173">
        <f t="shared" si="4"/>
        <v>3.5175544780134232E-4</v>
      </c>
      <c r="R28" s="172">
        <f>'Ridership-FY2026'!B19/'Revenue Miles_FY2026'!B19</f>
        <v>0.28707433174661295</v>
      </c>
      <c r="S28" s="171">
        <f>'Ridership-FY2026'!C19/'Revenue Miles_FY2026'!C19</f>
        <v>0.30552817479875144</v>
      </c>
      <c r="T28" s="171">
        <f>'Ridership-FY2026'!D19/'Revenue Miles_FY2026'!D19</f>
        <v>0.29334044561158756</v>
      </c>
      <c r="U28" s="171">
        <f>'Ridership-FY2026'!E19/'Revenue Miles_FY2026'!E19</f>
        <v>0.30213613680743212</v>
      </c>
      <c r="V28" s="174">
        <f t="shared" si="5"/>
        <v>0.87051960662416128</v>
      </c>
      <c r="W28" s="169">
        <f t="shared" si="6"/>
        <v>3.6075228501625018E-4</v>
      </c>
      <c r="X28" s="173">
        <f t="shared" si="7"/>
        <v>3.4915222307703295E-4</v>
      </c>
      <c r="Y28" s="172">
        <f>'Op Cost_FY2026'!B19/'Revenue Hours_FY2026'!B19</f>
        <v>38.42344735968117</v>
      </c>
      <c r="Z28" s="171">
        <f>'Op Cost_FY2026'!C19/'Revenue Hours_FY2026'!C19</f>
        <v>35.43739730529083</v>
      </c>
      <c r="AA28" s="171">
        <f>'Op Cost_FY2026'!D19/'Revenue Hours_FY2026'!D19</f>
        <v>58.537318361955087</v>
      </c>
      <c r="AB28" s="171">
        <f>'Op Cost_FY2026'!E19/'Revenue Hours_FY2026'!E19</f>
        <v>55.163115845539281</v>
      </c>
      <c r="AC28" s="174">
        <f t="shared" si="8"/>
        <v>1.1105520609683832</v>
      </c>
      <c r="AD28" s="169">
        <f t="shared" si="9"/>
        <v>3.7315701559974339E-4</v>
      </c>
      <c r="AE28" s="173">
        <f t="shared" si="10"/>
        <v>3.7382015271836911E-4</v>
      </c>
      <c r="AF28" s="172">
        <f>'Op Cost_FY2026'!B19/'Revenue Miles_FY2026'!B19</f>
        <v>2.3534928190731925</v>
      </c>
      <c r="AG28" s="171">
        <f>'Op Cost_FY2026'!C19/'Revenue Miles_FY2026'!C19</f>
        <v>2.2144734680466569</v>
      </c>
      <c r="AH28" s="171">
        <f>'Op Cost_FY2026'!D19/'Revenue Miles_FY2026'!D19</f>
        <v>3.6365147101062738</v>
      </c>
      <c r="AI28" s="171">
        <f>'Op Cost_FY2026'!E19/'Revenue Miles_FY2026'!E19</f>
        <v>3.2685062821751907</v>
      </c>
      <c r="AJ28" s="174">
        <f t="shared" si="11"/>
        <v>1.1037169090605909</v>
      </c>
      <c r="AK28" s="169">
        <f t="shared" si="12"/>
        <v>3.7546792056653738E-4</v>
      </c>
      <c r="AL28" s="173">
        <f t="shared" si="13"/>
        <v>3.7610205482428141E-4</v>
      </c>
      <c r="AM28" s="172">
        <f>'Op Cost_FY2026'!B19/'Ridership-FY2026'!B19</f>
        <v>8.1982001133786842</v>
      </c>
      <c r="AN28" s="171">
        <f>'Op Cost_FY2026'!C19/'Ridership-FY2026'!C19</f>
        <v>7.2480172066137918</v>
      </c>
      <c r="AO28" s="171">
        <f>'Op Cost_FY2026'!D19/'Ridership-FY2026'!D19</f>
        <v>12.396908658553643</v>
      </c>
      <c r="AP28" s="171">
        <f>'Op Cost_FY2026'!E19/'Ridership-FY2026'!E19</f>
        <v>10.817991904948427</v>
      </c>
      <c r="AQ28" s="170">
        <f t="shared" si="14"/>
        <v>1.2936229881858146</v>
      </c>
      <c r="AR28" s="169">
        <f t="shared" si="15"/>
        <v>3.2034858418856474E-4</v>
      </c>
      <c r="AS28" s="168">
        <f t="shared" si="16"/>
        <v>3.2222005077916789E-4</v>
      </c>
      <c r="AT28" s="167"/>
      <c r="AU28" s="166">
        <f t="shared" si="17"/>
        <v>0</v>
      </c>
      <c r="AV28" s="165">
        <f t="shared" si="18"/>
        <v>0</v>
      </c>
      <c r="AW28" s="165">
        <f t="shared" si="19"/>
        <v>0</v>
      </c>
      <c r="AX28" s="165">
        <f t="shared" si="20"/>
        <v>0</v>
      </c>
      <c r="AY28" s="164">
        <f t="shared" si="21"/>
        <v>0</v>
      </c>
      <c r="AZ28" s="163">
        <f t="shared" si="27"/>
        <v>-1</v>
      </c>
      <c r="BA28" s="162">
        <f t="shared" si="22"/>
        <v>0</v>
      </c>
      <c r="BB28" s="161">
        <f t="shared" si="22"/>
        <v>0</v>
      </c>
      <c r="BC28" s="161">
        <f t="shared" si="22"/>
        <v>0</v>
      </c>
      <c r="BD28" s="161">
        <f t="shared" si="22"/>
        <v>0</v>
      </c>
      <c r="BE28" s="161">
        <f t="shared" si="22"/>
        <v>0</v>
      </c>
      <c r="BF28" s="160">
        <f t="shared" si="28"/>
        <v>49882.411761072086</v>
      </c>
      <c r="BH28" s="159">
        <f>'Op Cost_FY2026'!E19</f>
        <v>165710</v>
      </c>
      <c r="BI28" s="158">
        <f t="shared" si="23"/>
        <v>0.30102233879109341</v>
      </c>
      <c r="BJ28" s="157">
        <f t="shared" si="24"/>
        <v>49713</v>
      </c>
      <c r="BK28" s="156">
        <f t="shared" si="25"/>
        <v>169.41176107208594</v>
      </c>
      <c r="BM28" s="548">
        <f t="shared" si="29"/>
        <v>0.44965000348434714</v>
      </c>
      <c r="BN28" s="548">
        <f t="shared" si="30"/>
        <v>0.37564920230941845</v>
      </c>
      <c r="BO28" s="566">
        <f t="shared" si="31"/>
        <v>1.0119778335565253</v>
      </c>
      <c r="BP28" s="401">
        <f t="shared" si="26"/>
        <v>0</v>
      </c>
      <c r="BQ28" s="551">
        <f t="shared" si="32"/>
        <v>2.9519013649240958E-4</v>
      </c>
      <c r="BR28" s="552">
        <f t="shared" si="33"/>
        <v>0</v>
      </c>
      <c r="BS28" s="553">
        <f t="shared" si="34"/>
        <v>0</v>
      </c>
      <c r="BT28" s="540">
        <f t="shared" si="35"/>
        <v>49713</v>
      </c>
      <c r="BU28" s="540">
        <f t="shared" si="36"/>
        <v>49713</v>
      </c>
      <c r="BV28" s="540">
        <f t="shared" si="37"/>
        <v>49713</v>
      </c>
      <c r="BW28" s="540">
        <f t="shared" si="41"/>
        <v>0</v>
      </c>
      <c r="BX28" s="541">
        <f t="shared" si="38"/>
        <v>0</v>
      </c>
      <c r="BY28" s="542">
        <f t="shared" si="39"/>
        <v>0</v>
      </c>
      <c r="BZ28" s="563">
        <f t="shared" si="40"/>
        <v>49713</v>
      </c>
      <c r="CC28" s="147"/>
    </row>
    <row r="29" spans="1:81">
      <c r="A29" s="181" t="s">
        <v>103</v>
      </c>
      <c r="B29" s="180" t="s">
        <v>77</v>
      </c>
      <c r="C29" s="144"/>
      <c r="D29" s="179">
        <f>'Sizing - Reim Expen_FY2026'!B20</f>
        <v>25291520</v>
      </c>
      <c r="E29" s="178">
        <f>'Ridership-FY2026'!$E20</f>
        <v>690827</v>
      </c>
      <c r="F29" s="178">
        <f>'Revenue Hours_FY2026'!$E20</f>
        <v>172995.92</v>
      </c>
      <c r="G29" s="178">
        <f>'Revenue Miles_FY2026'!$E20</f>
        <v>3894172</v>
      </c>
      <c r="H29" s="177">
        <f t="shared" si="0"/>
        <v>3.4511391754366877E-2</v>
      </c>
      <c r="I29" s="176">
        <f t="shared" si="1"/>
        <v>3.4511391754366877E-2</v>
      </c>
      <c r="J29" s="167"/>
      <c r="K29" s="175">
        <f>'Ridership-FY2026'!B20/'Revenue Hours_FY2026'!B20</f>
        <v>3.470492023892092</v>
      </c>
      <c r="L29" s="171">
        <f>'Ridership-FY2026'!C20/'Revenue Hours_FY2026'!C20</f>
        <v>4.2679119210326499</v>
      </c>
      <c r="M29" s="171">
        <f>'Ridership-FY2026'!D20/'Revenue Hours_FY2026'!D20</f>
        <v>4.451152820443574</v>
      </c>
      <c r="N29" s="171">
        <f>'Ridership-FY2026'!E20/'Revenue Hours_FY2026'!E20</f>
        <v>3.9933138307539271</v>
      </c>
      <c r="O29" s="174">
        <f t="shared" si="2"/>
        <v>0.89152476012892912</v>
      </c>
      <c r="P29" s="169">
        <f t="shared" si="3"/>
        <v>3.0767760255527431E-2</v>
      </c>
      <c r="Q29" s="173">
        <f t="shared" si="4"/>
        <v>2.9736835716114927E-2</v>
      </c>
      <c r="R29" s="172">
        <f>'Ridership-FY2026'!B20/'Revenue Miles_FY2026'!B20</f>
        <v>0.16305901321605187</v>
      </c>
      <c r="S29" s="171">
        <f>'Ridership-FY2026'!C20/'Revenue Miles_FY2026'!C20</f>
        <v>0.18749795684455406</v>
      </c>
      <c r="T29" s="171">
        <f>'Ridership-FY2026'!D20/'Revenue Miles_FY2026'!D20</f>
        <v>0.20352598918826306</v>
      </c>
      <c r="U29" s="171">
        <f>'Ridership-FY2026'!E20/'Revenue Miles_FY2026'!E20</f>
        <v>0.17740022782763576</v>
      </c>
      <c r="V29" s="174">
        <f t="shared" si="5"/>
        <v>0.87910488190980651</v>
      </c>
      <c r="W29" s="169">
        <f t="shared" si="6"/>
        <v>3.0339132972765765E-2</v>
      </c>
      <c r="X29" s="173">
        <f t="shared" si="7"/>
        <v>2.9363572078812239E-2</v>
      </c>
      <c r="Y29" s="172">
        <f>'Op Cost_FY2026'!B20/'Revenue Hours_FY2026'!B20</f>
        <v>179.69728056645377</v>
      </c>
      <c r="Z29" s="171">
        <f>'Op Cost_FY2026'!C20/'Revenue Hours_FY2026'!C20</f>
        <v>158.41301948873704</v>
      </c>
      <c r="AA29" s="171">
        <f>'Op Cost_FY2026'!D20/'Revenue Hours_FY2026'!D20</f>
        <v>159.2898254734497</v>
      </c>
      <c r="AB29" s="171">
        <f>'Op Cost_FY2026'!E20/'Revenue Hours_FY2026'!E20</f>
        <v>146.19720511327665</v>
      </c>
      <c r="AC29" s="174">
        <f t="shared" si="8"/>
        <v>0.89241794556285381</v>
      </c>
      <c r="AD29" s="169">
        <f t="shared" si="9"/>
        <v>3.867178145168329E-2</v>
      </c>
      <c r="AE29" s="173">
        <f t="shared" si="10"/>
        <v>3.8740505052344464E-2</v>
      </c>
      <c r="AF29" s="172">
        <f>'Op Cost_FY2026'!B20/'Revenue Miles_FY2026'!B20</f>
        <v>8.4429703468712045</v>
      </c>
      <c r="AG29" s="171">
        <f>'Op Cost_FY2026'!C20/'Revenue Miles_FY2026'!C20</f>
        <v>6.9594026402794391</v>
      </c>
      <c r="AH29" s="171">
        <f>'Op Cost_FY2026'!D20/'Revenue Miles_FY2026'!D20</f>
        <v>7.2834208585718461</v>
      </c>
      <c r="AI29" s="171">
        <f>'Op Cost_FY2026'!E20/'Revenue Miles_FY2026'!E20</f>
        <v>6.4947105572121622</v>
      </c>
      <c r="AJ29" s="174">
        <f t="shared" si="11"/>
        <v>0.88136384841768123</v>
      </c>
      <c r="AK29" s="169">
        <f t="shared" si="12"/>
        <v>3.9156804328116503E-2</v>
      </c>
      <c r="AL29" s="173">
        <f t="shared" si="13"/>
        <v>3.9222936931431245E-2</v>
      </c>
      <c r="AM29" s="172">
        <f>'Op Cost_FY2026'!B20/'Ridership-FY2026'!B20</f>
        <v>51.778617939287642</v>
      </c>
      <c r="AN29" s="171">
        <f>'Op Cost_FY2026'!C20/'Ridership-FY2026'!C20</f>
        <v>37.117218541475417</v>
      </c>
      <c r="AO29" s="171">
        <f>'Op Cost_FY2026'!D20/'Ridership-FY2026'!D20</f>
        <v>35.786195599003463</v>
      </c>
      <c r="AP29" s="171">
        <f>'Op Cost_FY2026'!E20/'Ridership-FY2026'!E20</f>
        <v>36.610497273557634</v>
      </c>
      <c r="AQ29" s="174">
        <f t="shared" si="14"/>
        <v>1.0046673128501329</v>
      </c>
      <c r="AR29" s="169">
        <f t="shared" si="15"/>
        <v>3.4351064589193986E-2</v>
      </c>
      <c r="AS29" s="168">
        <f t="shared" si="16"/>
        <v>3.4551742453568395E-2</v>
      </c>
      <c r="AT29" s="167"/>
      <c r="AU29" s="166">
        <f t="shared" si="17"/>
        <v>0</v>
      </c>
      <c r="AV29" s="165">
        <f t="shared" si="18"/>
        <v>0</v>
      </c>
      <c r="AW29" s="165">
        <f t="shared" si="19"/>
        <v>0</v>
      </c>
      <c r="AX29" s="165">
        <f t="shared" si="20"/>
        <v>0</v>
      </c>
      <c r="AY29" s="164">
        <f t="shared" si="21"/>
        <v>0</v>
      </c>
      <c r="AZ29" s="163">
        <f t="shared" si="27"/>
        <v>-1</v>
      </c>
      <c r="BA29" s="162">
        <f t="shared" si="22"/>
        <v>0</v>
      </c>
      <c r="BB29" s="161">
        <f t="shared" si="22"/>
        <v>0</v>
      </c>
      <c r="BC29" s="161">
        <f t="shared" si="22"/>
        <v>0</v>
      </c>
      <c r="BD29" s="161">
        <f t="shared" si="22"/>
        <v>0</v>
      </c>
      <c r="BE29" s="161">
        <f t="shared" si="22"/>
        <v>0</v>
      </c>
      <c r="BF29" s="160">
        <f t="shared" si="28"/>
        <v>4154123.3026824985</v>
      </c>
      <c r="BH29" s="159">
        <f>'Op Cost_FY2026'!E20</f>
        <v>25291520</v>
      </c>
      <c r="BI29" s="158">
        <f t="shared" si="23"/>
        <v>0.16424964979101686</v>
      </c>
      <c r="BJ29" s="157">
        <f t="shared" si="24"/>
        <v>4154123.3026824985</v>
      </c>
      <c r="BK29" s="156">
        <f t="shared" si="25"/>
        <v>0</v>
      </c>
      <c r="BM29" s="548">
        <f t="shared" si="29"/>
        <v>0.35213233503391017</v>
      </c>
      <c r="BN29" s="548">
        <f t="shared" si="30"/>
        <v>0.22056366635624902</v>
      </c>
      <c r="BO29" s="566">
        <f t="shared" si="31"/>
        <v>0.29902811561395393</v>
      </c>
      <c r="BP29" s="401">
        <f t="shared" si="26"/>
        <v>4154123.3026824985</v>
      </c>
      <c r="BQ29" s="551">
        <f t="shared" si="32"/>
        <v>1.0101072236795443E-2</v>
      </c>
      <c r="BR29" s="552">
        <f t="shared" si="33"/>
        <v>1.0101072236795443E-2</v>
      </c>
      <c r="BS29" s="553">
        <f t="shared" si="34"/>
        <v>1.0620984794416217E-2</v>
      </c>
      <c r="BT29" s="540">
        <f t="shared" si="35"/>
        <v>4233614.5194907952</v>
      </c>
      <c r="BU29" s="540">
        <f t="shared" si="36"/>
        <v>7587456</v>
      </c>
      <c r="BV29" s="540">
        <f t="shared" si="37"/>
        <v>4233614.5194907952</v>
      </c>
      <c r="BW29" s="540">
        <f t="shared" si="41"/>
        <v>0</v>
      </c>
      <c r="BX29" s="541">
        <f t="shared" si="38"/>
        <v>1.0101072236795443E-2</v>
      </c>
      <c r="BY29" s="542">
        <f t="shared" si="39"/>
        <v>1.1437149175971597E-2</v>
      </c>
      <c r="BZ29" s="563">
        <f t="shared" si="40"/>
        <v>4236788.7990726791</v>
      </c>
      <c r="CC29" s="147"/>
    </row>
    <row r="30" spans="1:81">
      <c r="A30" s="181" t="s">
        <v>103</v>
      </c>
      <c r="B30" s="180" t="s">
        <v>78</v>
      </c>
      <c r="C30" s="144"/>
      <c r="D30" s="179">
        <f>'Sizing - Reim Expen_FY2026'!B21</f>
        <v>28281032</v>
      </c>
      <c r="E30" s="178">
        <f>'Ridership-FY2026'!$E21</f>
        <v>2458738</v>
      </c>
      <c r="F30" s="178">
        <f>'Revenue Hours_FY2026'!$E21</f>
        <v>230883</v>
      </c>
      <c r="G30" s="178">
        <f>'Revenue Miles_FY2026'!$E21</f>
        <v>2329537</v>
      </c>
      <c r="H30" s="177">
        <f t="shared" si="0"/>
        <v>4.6304697474169161E-2</v>
      </c>
      <c r="I30" s="176">
        <f t="shared" si="1"/>
        <v>4.6304697474169161E-2</v>
      </c>
      <c r="J30" s="167"/>
      <c r="K30" s="175">
        <f>'Ridership-FY2026'!B21/'Revenue Hours_FY2026'!B21</f>
        <v>7.8216167510040826</v>
      </c>
      <c r="L30" s="171">
        <f>'Ridership-FY2026'!C21/'Revenue Hours_FY2026'!C21</f>
        <v>8.8817225863249529</v>
      </c>
      <c r="M30" s="171">
        <f>'Ridership-FY2026'!D21/'Revenue Hours_FY2026'!D21</f>
        <v>9.7390196531791915</v>
      </c>
      <c r="N30" s="171">
        <f>'Ridership-FY2026'!E21/'Revenue Hours_FY2026'!E21</f>
        <v>10.649281237683155</v>
      </c>
      <c r="O30" s="174">
        <f t="shared" si="2"/>
        <v>0.94314927205126431</v>
      </c>
      <c r="P30" s="169">
        <f t="shared" si="3"/>
        <v>4.3672241715316661E-2</v>
      </c>
      <c r="Q30" s="173">
        <f t="shared" si="4"/>
        <v>4.2208931246775619E-2</v>
      </c>
      <c r="R30" s="172">
        <f>'Ridership-FY2026'!B21/'Revenue Miles_FY2026'!B21</f>
        <v>0.78433143162528551</v>
      </c>
      <c r="S30" s="171">
        <f>'Ridership-FY2026'!C21/'Revenue Miles_FY2026'!C21</f>
        <v>0.87157122671755427</v>
      </c>
      <c r="T30" s="171">
        <f>'Ridership-FY2026'!D21/'Revenue Miles_FY2026'!D21</f>
        <v>0.95474957839955032</v>
      </c>
      <c r="U30" s="171">
        <f>'Ridership-FY2026'!E21/'Revenue Miles_FY2026'!E21</f>
        <v>1.0554620939697459</v>
      </c>
      <c r="V30" s="174">
        <f t="shared" si="5"/>
        <v>0.94426272197974803</v>
      </c>
      <c r="W30" s="169">
        <f t="shared" si="6"/>
        <v>4.3723799677407735E-2</v>
      </c>
      <c r="X30" s="173">
        <f t="shared" si="7"/>
        <v>4.2317852146256246E-2</v>
      </c>
      <c r="Y30" s="172">
        <f>'Op Cost_FY2026'!B21/'Revenue Hours_FY2026'!B21</f>
        <v>115.12446224595757</v>
      </c>
      <c r="Z30" s="171">
        <f>'Op Cost_FY2026'!C21/'Revenue Hours_FY2026'!C21</f>
        <v>128.33355179497212</v>
      </c>
      <c r="AA30" s="171">
        <f>'Op Cost_FY2026'!D21/'Revenue Hours_FY2026'!D21</f>
        <v>109.8271676300578</v>
      </c>
      <c r="AB30" s="171">
        <f>'Op Cost_FY2026'!E21/'Revenue Hours_FY2026'!E21</f>
        <v>122.49075072655847</v>
      </c>
      <c r="AC30" s="174">
        <f t="shared" si="8"/>
        <v>0.98733751771107381</v>
      </c>
      <c r="AD30" s="169">
        <f t="shared" si="9"/>
        <v>4.689854952693024E-2</v>
      </c>
      <c r="AE30" s="173">
        <f t="shared" si="10"/>
        <v>4.6981892912424487E-2</v>
      </c>
      <c r="AF30" s="172">
        <f>'Op Cost_FY2026'!B21/'Revenue Miles_FY2026'!B21</f>
        <v>11.544382339734495</v>
      </c>
      <c r="AG30" s="171">
        <f>'Op Cost_FY2026'!C21/'Revenue Miles_FY2026'!C21</f>
        <v>12.593483986899244</v>
      </c>
      <c r="AH30" s="171">
        <f>'Op Cost_FY2026'!D21/'Revenue Miles_FY2026'!D21</f>
        <v>10.766734817850473</v>
      </c>
      <c r="AI30" s="171">
        <f>'Op Cost_FY2026'!E21/'Revenue Miles_FY2026'!E21</f>
        <v>12.140194381973757</v>
      </c>
      <c r="AJ30" s="174">
        <f t="shared" si="11"/>
        <v>0.98862782106337344</v>
      </c>
      <c r="AK30" s="169">
        <f t="shared" si="12"/>
        <v>4.683734008654903E-2</v>
      </c>
      <c r="AL30" s="173">
        <f t="shared" si="13"/>
        <v>4.6916444479397489E-2</v>
      </c>
      <c r="AM30" s="172">
        <f>'Op Cost_FY2026'!B21/'Ridership-FY2026'!B21</f>
        <v>14.718755202519828</v>
      </c>
      <c r="AN30" s="171">
        <f>'Op Cost_FY2026'!C21/'Ridership-FY2026'!C21</f>
        <v>14.449173631313958</v>
      </c>
      <c r="AO30" s="171">
        <f>'Op Cost_FY2026'!D21/'Ridership-FY2026'!D21</f>
        <v>11.277024951295379</v>
      </c>
      <c r="AP30" s="171">
        <f>'Op Cost_FY2026'!E21/'Ridership-FY2026'!E21</f>
        <v>11.502255221987866</v>
      </c>
      <c r="AQ30" s="174">
        <f t="shared" si="14"/>
        <v>1.0492744422797424</v>
      </c>
      <c r="AR30" s="169">
        <f t="shared" si="15"/>
        <v>4.4130206177102393E-2</v>
      </c>
      <c r="AS30" s="168">
        <f t="shared" si="16"/>
        <v>4.4388013486306117E-2</v>
      </c>
      <c r="AT30" s="167"/>
      <c r="AU30" s="166">
        <f t="shared" si="17"/>
        <v>0</v>
      </c>
      <c r="AV30" s="165">
        <f t="shared" si="18"/>
        <v>0</v>
      </c>
      <c r="AW30" s="165">
        <f t="shared" si="19"/>
        <v>0</v>
      </c>
      <c r="AX30" s="165">
        <f t="shared" si="20"/>
        <v>0</v>
      </c>
      <c r="AY30" s="164">
        <f t="shared" si="21"/>
        <v>0</v>
      </c>
      <c r="AZ30" s="163">
        <f t="shared" si="27"/>
        <v>-1</v>
      </c>
      <c r="BA30" s="162">
        <f t="shared" si="22"/>
        <v>0</v>
      </c>
      <c r="BB30" s="161">
        <f t="shared" si="22"/>
        <v>0</v>
      </c>
      <c r="BC30" s="161">
        <f t="shared" si="22"/>
        <v>0</v>
      </c>
      <c r="BD30" s="161">
        <f t="shared" si="22"/>
        <v>0</v>
      </c>
      <c r="BE30" s="161">
        <f t="shared" si="22"/>
        <v>0</v>
      </c>
      <c r="BF30" s="160">
        <f t="shared" si="28"/>
        <v>5573679.096171773</v>
      </c>
      <c r="BH30" s="159">
        <f>'Op Cost_FY2026'!E21</f>
        <v>28281032</v>
      </c>
      <c r="BI30" s="158">
        <f t="shared" si="23"/>
        <v>0.19708188499527787</v>
      </c>
      <c r="BJ30" s="157">
        <f t="shared" si="24"/>
        <v>5573679.096171773</v>
      </c>
      <c r="BK30" s="156">
        <f t="shared" si="25"/>
        <v>0</v>
      </c>
      <c r="BM30" s="548">
        <f t="shared" si="29"/>
        <v>0.93905874358745212</v>
      </c>
      <c r="BN30" s="548">
        <f t="shared" si="30"/>
        <v>1.3122677011001305</v>
      </c>
      <c r="BO30" s="566">
        <f t="shared" si="31"/>
        <v>0.95177578658437512</v>
      </c>
      <c r="BP30" s="401">
        <f t="shared" si="26"/>
        <v>5573679.096171773</v>
      </c>
      <c r="BQ30" s="551">
        <f t="shared" si="32"/>
        <v>4.8097592414728274E-2</v>
      </c>
      <c r="BR30" s="552">
        <f t="shared" si="33"/>
        <v>4.8097592414728274E-2</v>
      </c>
      <c r="BS30" s="553">
        <f t="shared" si="34"/>
        <v>5.0573224872503493E-2</v>
      </c>
      <c r="BT30" s="540">
        <f t="shared" si="35"/>
        <v>5952187.046314816</v>
      </c>
      <c r="BU30" s="540">
        <f t="shared" si="36"/>
        <v>8484309.5999999996</v>
      </c>
      <c r="BV30" s="540">
        <f t="shared" si="37"/>
        <v>5952187.046314816</v>
      </c>
      <c r="BW30" s="540">
        <f t="shared" si="41"/>
        <v>0</v>
      </c>
      <c r="BX30" s="541">
        <f t="shared" si="38"/>
        <v>4.8097592414728274E-2</v>
      </c>
      <c r="BY30" s="542">
        <f t="shared" si="39"/>
        <v>5.4459499601286467E-2</v>
      </c>
      <c r="BZ30" s="563">
        <f t="shared" si="40"/>
        <v>5967301.7986857267</v>
      </c>
      <c r="CC30" s="147"/>
    </row>
    <row r="31" spans="1:81">
      <c r="A31" s="181" t="s">
        <v>103</v>
      </c>
      <c r="B31" s="180" t="s">
        <v>79</v>
      </c>
      <c r="C31" s="144"/>
      <c r="D31" s="179">
        <f>'Sizing - Reim Expen_FY2026'!B22</f>
        <v>35845053</v>
      </c>
      <c r="E31" s="178">
        <f>'Ridership-FY2026'!$E22</f>
        <v>5351810</v>
      </c>
      <c r="F31" s="178">
        <f>'Revenue Hours_FY2026'!$E22</f>
        <v>308856.31</v>
      </c>
      <c r="G31" s="178">
        <f>'Revenue Miles_FY2026'!$E22</f>
        <v>2865159</v>
      </c>
      <c r="H31" s="177">
        <f t="shared" si="0"/>
        <v>7.3746384257605296E-2</v>
      </c>
      <c r="I31" s="176">
        <f t="shared" si="1"/>
        <v>7.3746384257605296E-2</v>
      </c>
      <c r="J31" s="167"/>
      <c r="K31" s="175">
        <f>'Ridership-FY2026'!B22/'Revenue Hours_FY2026'!B22</f>
        <v>7.2218469159098948</v>
      </c>
      <c r="L31" s="171">
        <f>'Ridership-FY2026'!C22/'Revenue Hours_FY2026'!C22</f>
        <v>11.021126607734487</v>
      </c>
      <c r="M31" s="171">
        <f>'Ridership-FY2026'!D22/'Revenue Hours_FY2026'!D22</f>
        <v>14.745469355165852</v>
      </c>
      <c r="N31" s="171">
        <f>'Ridership-FY2026'!E22/'Revenue Hours_FY2026'!E22</f>
        <v>17.327831184669662</v>
      </c>
      <c r="O31" s="174">
        <f t="shared" si="2"/>
        <v>1.1378339509151447</v>
      </c>
      <c r="P31" s="169">
        <f t="shared" si="3"/>
        <v>8.3911139765537462E-2</v>
      </c>
      <c r="Q31" s="173">
        <f t="shared" si="4"/>
        <v>8.1099558669093366E-2</v>
      </c>
      <c r="R31" s="172">
        <f>'Ridership-FY2026'!B22/'Revenue Miles_FY2026'!B22</f>
        <v>0.80452628182287345</v>
      </c>
      <c r="S31" s="171">
        <f>'Ridership-FY2026'!C22/'Revenue Miles_FY2026'!C22</f>
        <v>1.2173072182855937</v>
      </c>
      <c r="T31" s="171">
        <f>'Ridership-FY2026'!D22/'Revenue Miles_FY2026'!D22</f>
        <v>1.5082541507857004</v>
      </c>
      <c r="U31" s="171">
        <f>'Ridership-FY2026'!E22/'Revenue Miles_FY2026'!E22</f>
        <v>1.8678928464353985</v>
      </c>
      <c r="V31" s="174">
        <f t="shared" si="5"/>
        <v>1.1322299531663331</v>
      </c>
      <c r="W31" s="169">
        <f t="shared" si="6"/>
        <v>8.3497865194174847E-2</v>
      </c>
      <c r="X31" s="173">
        <f t="shared" si="7"/>
        <v>8.0812974624455497E-2</v>
      </c>
      <c r="Y31" s="172">
        <f>'Op Cost_FY2026'!B22/'Revenue Hours_FY2026'!B22</f>
        <v>113.69054841372804</v>
      </c>
      <c r="Z31" s="171">
        <f>'Op Cost_FY2026'!C22/'Revenue Hours_FY2026'!C22</f>
        <v>98.632543150219192</v>
      </c>
      <c r="AA31" s="171">
        <f>'Op Cost_FY2026'!D22/'Revenue Hours_FY2026'!D22</f>
        <v>103.11566062580688</v>
      </c>
      <c r="AB31" s="171">
        <f>'Op Cost_FY2026'!E22/'Revenue Hours_FY2026'!E22</f>
        <v>116.71198169789699</v>
      </c>
      <c r="AC31" s="174">
        <f t="shared" si="8"/>
        <v>0.96878639742207318</v>
      </c>
      <c r="AD31" s="169">
        <f t="shared" si="9"/>
        <v>7.6122439842098696E-2</v>
      </c>
      <c r="AE31" s="173">
        <f t="shared" si="10"/>
        <v>7.6257716986328494E-2</v>
      </c>
      <c r="AF31" s="172">
        <f>'Op Cost_FY2026'!B22/'Revenue Miles_FY2026'!B22</f>
        <v>12.665324432756394</v>
      </c>
      <c r="AG31" s="171">
        <f>'Op Cost_FY2026'!C22/'Revenue Miles_FY2026'!C22</f>
        <v>10.894177247756708</v>
      </c>
      <c r="AH31" s="171">
        <f>'Op Cost_FY2026'!D22/'Revenue Miles_FY2026'!D22</f>
        <v>10.547281975490128</v>
      </c>
      <c r="AI31" s="171">
        <f>'Op Cost_FY2026'!E22/'Revenue Miles_FY2026'!E22</f>
        <v>12.581232664574635</v>
      </c>
      <c r="AJ31" s="174">
        <f t="shared" si="11"/>
        <v>0.96628072093214301</v>
      </c>
      <c r="AK31" s="169">
        <f t="shared" si="12"/>
        <v>7.6319834040013038E-2</v>
      </c>
      <c r="AL31" s="173">
        <f t="shared" si="13"/>
        <v>7.6448731926248126E-2</v>
      </c>
      <c r="AM31" s="172">
        <f>'Op Cost_FY2026'!B22/'Ridership-FY2026'!B22</f>
        <v>15.742586313102974</v>
      </c>
      <c r="AN31" s="171">
        <f>'Op Cost_FY2026'!C22/'Ridership-FY2026'!C22</f>
        <v>8.9494065952386492</v>
      </c>
      <c r="AO31" s="171">
        <f>'Op Cost_FY2026'!D22/'Ridership-FY2026'!D22</f>
        <v>6.9930402445739626</v>
      </c>
      <c r="AP31" s="171">
        <f>'Op Cost_FY2026'!E22/'Ridership-FY2026'!E22</f>
        <v>6.7355216272625524</v>
      </c>
      <c r="AQ31" s="174">
        <f t="shared" si="14"/>
        <v>0.85513349272278338</v>
      </c>
      <c r="AR31" s="169">
        <f t="shared" si="15"/>
        <v>8.6239616253122667E-2</v>
      </c>
      <c r="AS31" s="168">
        <f t="shared" si="16"/>
        <v>8.6743425442768265E-2</v>
      </c>
      <c r="AT31" s="167"/>
      <c r="AU31" s="166">
        <f t="shared" si="17"/>
        <v>0</v>
      </c>
      <c r="AV31" s="165">
        <f t="shared" si="18"/>
        <v>0</v>
      </c>
      <c r="AW31" s="165">
        <f t="shared" si="19"/>
        <v>0</v>
      </c>
      <c r="AX31" s="165">
        <f t="shared" si="20"/>
        <v>0</v>
      </c>
      <c r="AY31" s="164">
        <f t="shared" si="21"/>
        <v>0</v>
      </c>
      <c r="AZ31" s="163">
        <f t="shared" si="27"/>
        <v>-1</v>
      </c>
      <c r="BA31" s="162">
        <f t="shared" si="22"/>
        <v>0</v>
      </c>
      <c r="BB31" s="161">
        <f t="shared" si="22"/>
        <v>0</v>
      </c>
      <c r="BC31" s="161">
        <f t="shared" si="22"/>
        <v>0</v>
      </c>
      <c r="BD31" s="161">
        <f t="shared" si="22"/>
        <v>0</v>
      </c>
      <c r="BE31" s="161">
        <f t="shared" si="22"/>
        <v>0</v>
      </c>
      <c r="BF31" s="160">
        <f t="shared" si="28"/>
        <v>8876824.6587543637</v>
      </c>
      <c r="BH31" s="159">
        <f>'Op Cost_FY2026'!E22</f>
        <v>36047232</v>
      </c>
      <c r="BI31" s="158">
        <f t="shared" si="23"/>
        <v>0.24625537569027114</v>
      </c>
      <c r="BJ31" s="157">
        <f t="shared" si="24"/>
        <v>8876824.6587543637</v>
      </c>
      <c r="BK31" s="156">
        <f t="shared" si="25"/>
        <v>0</v>
      </c>
      <c r="BM31" s="548">
        <f t="shared" si="29"/>
        <v>1.5279764913891456</v>
      </c>
      <c r="BN31" s="548">
        <f t="shared" si="30"/>
        <v>2.3223718459408937</v>
      </c>
      <c r="BO31" s="566">
        <f t="shared" si="31"/>
        <v>1.6253482086807645</v>
      </c>
      <c r="BP31" s="401">
        <f t="shared" si="26"/>
        <v>8876824.6587543637</v>
      </c>
      <c r="BQ31" s="551">
        <f t="shared" si="32"/>
        <v>0.13091909377748423</v>
      </c>
      <c r="BR31" s="552">
        <f t="shared" si="33"/>
        <v>0.13091909377748423</v>
      </c>
      <c r="BS31" s="553">
        <f t="shared" si="34"/>
        <v>0.13765763393357758</v>
      </c>
      <c r="BT31" s="540">
        <f t="shared" si="35"/>
        <v>9907103.2097682022</v>
      </c>
      <c r="BU31" s="540">
        <f t="shared" si="36"/>
        <v>10814169.6</v>
      </c>
      <c r="BV31" s="540">
        <f t="shared" si="37"/>
        <v>9907103.2097682022</v>
      </c>
      <c r="BW31" s="540">
        <f t="shared" si="41"/>
        <v>0</v>
      </c>
      <c r="BX31" s="541">
        <f t="shared" si="38"/>
        <v>0.13091909377748423</v>
      </c>
      <c r="BY31" s="542">
        <f t="shared" si="39"/>
        <v>0.14823586748164197</v>
      </c>
      <c r="BZ31" s="563">
        <f t="shared" si="40"/>
        <v>9948244.763507694</v>
      </c>
      <c r="CC31" s="147"/>
    </row>
    <row r="32" spans="1:81">
      <c r="A32" s="181" t="s">
        <v>103</v>
      </c>
      <c r="B32" s="180" t="s">
        <v>80</v>
      </c>
      <c r="C32" s="144"/>
      <c r="D32" s="179">
        <f>'Sizing - Reim Expen_FY2026'!B23</f>
        <v>5453602</v>
      </c>
      <c r="E32" s="178">
        <f>'Ridership-FY2026'!$E23</f>
        <v>1002134</v>
      </c>
      <c r="F32" s="178">
        <f>'Revenue Hours_FY2026'!$E23</f>
        <v>34526</v>
      </c>
      <c r="G32" s="178">
        <f>'Revenue Miles_FY2026'!$E23</f>
        <v>434414</v>
      </c>
      <c r="H32" s="177">
        <f t="shared" si="0"/>
        <v>1.205585887728073E-2</v>
      </c>
      <c r="I32" s="176">
        <f t="shared" si="1"/>
        <v>1.205585887728073E-2</v>
      </c>
      <c r="J32" s="167"/>
      <c r="K32" s="175">
        <f>'Ridership-FY2026'!B23/'Revenue Hours_FY2026'!B23</f>
        <v>9.5356184364060681</v>
      </c>
      <c r="L32" s="171">
        <f>'Ridership-FY2026'!C23/'Revenue Hours_FY2026'!C23</f>
        <v>13.465131541402728</v>
      </c>
      <c r="M32" s="171">
        <f>'Ridership-FY2026'!D23/'Revenue Hours_FY2026'!D23</f>
        <v>24.467665569605636</v>
      </c>
      <c r="N32" s="171">
        <f>'Ridership-FY2026'!E23/'Revenue Hours_FY2026'!E23</f>
        <v>29.025488038000347</v>
      </c>
      <c r="O32" s="174">
        <f t="shared" si="2"/>
        <v>1.2460987517963511</v>
      </c>
      <c r="P32" s="169">
        <f t="shared" si="3"/>
        <v>1.5022790698812476E-2</v>
      </c>
      <c r="Q32" s="173">
        <f t="shared" si="4"/>
        <v>1.451942732581293E-2</v>
      </c>
      <c r="R32" s="172">
        <f>'Ridership-FY2026'!B23/'Revenue Miles_FY2026'!B23</f>
        <v>0.74451206457520036</v>
      </c>
      <c r="S32" s="171">
        <f>'Ridership-FY2026'!C23/'Revenue Miles_FY2026'!C23</f>
        <v>1.0865963144527517</v>
      </c>
      <c r="T32" s="171">
        <f>'Ridership-FY2026'!D23/'Revenue Miles_FY2026'!D23</f>
        <v>1.9292701193514095</v>
      </c>
      <c r="U32" s="171">
        <f>'Ridership-FY2026'!E23/'Revenue Miles_FY2026'!E23</f>
        <v>2.3068639592646645</v>
      </c>
      <c r="V32" s="174">
        <f t="shared" si="5"/>
        <v>1.2548259859674822</v>
      </c>
      <c r="W32" s="169">
        <f t="shared" si="6"/>
        <v>1.5128005002368614E-2</v>
      </c>
      <c r="X32" s="173">
        <f t="shared" si="7"/>
        <v>1.4641560973230007E-2</v>
      </c>
      <c r="Y32" s="172">
        <f>'Op Cost_FY2026'!B23/'Revenue Hours_FY2026'!B23</f>
        <v>133.20037922987166</v>
      </c>
      <c r="Z32" s="171">
        <f>'Op Cost_FY2026'!C23/'Revenue Hours_FY2026'!C23</f>
        <v>152.54685270786965</v>
      </c>
      <c r="AA32" s="171">
        <f>'Op Cost_FY2026'!D23/'Revenue Hours_FY2026'!D23</f>
        <v>153.82888734915412</v>
      </c>
      <c r="AB32" s="171">
        <f>'Op Cost_FY2026'!E23/'Revenue Hours_FY2026'!E23</f>
        <v>157.95638069860394</v>
      </c>
      <c r="AC32" s="174">
        <f t="shared" si="8"/>
        <v>1.0154239429893224</v>
      </c>
      <c r="AD32" s="169">
        <f t="shared" si="9"/>
        <v>1.1872734497267515E-2</v>
      </c>
      <c r="AE32" s="173">
        <f t="shared" si="10"/>
        <v>1.1893833526940244E-2</v>
      </c>
      <c r="AF32" s="172">
        <f>'Op Cost_FY2026'!B23/'Revenue Miles_FY2026'!B23</f>
        <v>10.399880196968939</v>
      </c>
      <c r="AG32" s="171">
        <f>'Op Cost_FY2026'!C23/'Revenue Miles_FY2026'!C23</f>
        <v>12.310080107577638</v>
      </c>
      <c r="AH32" s="171">
        <f>'Op Cost_FY2026'!D23/'Revenue Miles_FY2026'!D23</f>
        <v>12.129374378259513</v>
      </c>
      <c r="AI32" s="171">
        <f>'Op Cost_FY2026'!E23/'Revenue Miles_FY2026'!E23</f>
        <v>12.553927820005802</v>
      </c>
      <c r="AJ32" s="174">
        <f t="shared" si="11"/>
        <v>1.0297394729691056</v>
      </c>
      <c r="AK32" s="169">
        <f t="shared" si="12"/>
        <v>1.17076786835406E-2</v>
      </c>
      <c r="AL32" s="173">
        <f t="shared" si="13"/>
        <v>1.1727451984334687E-2</v>
      </c>
      <c r="AM32" s="172">
        <f>'Op Cost_FY2026'!B23/'Ridership-FY2026'!B23</f>
        <v>13.968719503427852</v>
      </c>
      <c r="AN32" s="171">
        <f>'Op Cost_FY2026'!C23/'Ridership-FY2026'!C23</f>
        <v>11.329028033541075</v>
      </c>
      <c r="AO32" s="171">
        <f>'Op Cost_FY2026'!D23/'Ridership-FY2026'!D23</f>
        <v>6.2870275430053413</v>
      </c>
      <c r="AP32" s="171">
        <f>'Op Cost_FY2026'!E23/'Ridership-FY2026'!E23</f>
        <v>5.4419887959095288</v>
      </c>
      <c r="AQ32" s="170">
        <f t="shared" si="14"/>
        <v>0.84226751674459921</v>
      </c>
      <c r="AR32" s="169">
        <f t="shared" si="15"/>
        <v>1.4313574532563184E-2</v>
      </c>
      <c r="AS32" s="168">
        <f t="shared" si="16"/>
        <v>1.4397193995398181E-2</v>
      </c>
      <c r="AT32" s="167"/>
      <c r="AU32" s="166">
        <f t="shared" si="17"/>
        <v>0</v>
      </c>
      <c r="AV32" s="165">
        <f t="shared" si="18"/>
        <v>0</v>
      </c>
      <c r="AW32" s="165">
        <f t="shared" si="19"/>
        <v>0</v>
      </c>
      <c r="AX32" s="165">
        <f t="shared" si="20"/>
        <v>0</v>
      </c>
      <c r="AY32" s="164">
        <f t="shared" si="21"/>
        <v>0</v>
      </c>
      <c r="AZ32" s="163">
        <f t="shared" si="27"/>
        <v>-1</v>
      </c>
      <c r="BA32" s="162">
        <f t="shared" si="22"/>
        <v>0</v>
      </c>
      <c r="BB32" s="161">
        <f t="shared" si="22"/>
        <v>0</v>
      </c>
      <c r="BC32" s="161">
        <f t="shared" si="22"/>
        <v>0</v>
      </c>
      <c r="BD32" s="161">
        <f t="shared" si="22"/>
        <v>0</v>
      </c>
      <c r="BE32" s="161">
        <f t="shared" si="22"/>
        <v>0</v>
      </c>
      <c r="BF32" s="160">
        <f t="shared" si="28"/>
        <v>1451159.2187419247</v>
      </c>
      <c r="BH32" s="159">
        <f>'Op Cost_FY2026'!E23</f>
        <v>5453602</v>
      </c>
      <c r="BI32" s="158">
        <f t="shared" si="23"/>
        <v>0.26609188179517401</v>
      </c>
      <c r="BJ32" s="157">
        <f t="shared" si="24"/>
        <v>1451159.2187419247</v>
      </c>
      <c r="BK32" s="156">
        <f t="shared" si="25"/>
        <v>0</v>
      </c>
      <c r="BM32" s="548">
        <f t="shared" si="29"/>
        <v>2.5594815012047842</v>
      </c>
      <c r="BN32" s="548">
        <f t="shared" si="30"/>
        <v>2.8681494881442515</v>
      </c>
      <c r="BO32" s="566">
        <f t="shared" si="31"/>
        <v>2.0116851434222869</v>
      </c>
      <c r="BP32" s="401">
        <f t="shared" si="26"/>
        <v>1451159.2187419247</v>
      </c>
      <c r="BQ32" s="551">
        <f t="shared" si="32"/>
        <v>2.8484984408697553E-2</v>
      </c>
      <c r="BR32" s="552">
        <f t="shared" si="33"/>
        <v>2.8484984408697553E-2</v>
      </c>
      <c r="BS32" s="553">
        <f t="shared" si="34"/>
        <v>2.9951135798424885E-2</v>
      </c>
      <c r="BT32" s="540">
        <f t="shared" si="35"/>
        <v>1675324.1408740999</v>
      </c>
      <c r="BU32" s="540">
        <f t="shared" si="36"/>
        <v>1636080.5999999999</v>
      </c>
      <c r="BV32" s="540">
        <f t="shared" si="37"/>
        <v>1636080.5999999999</v>
      </c>
      <c r="BW32" s="540">
        <f t="shared" si="41"/>
        <v>39243.540874100057</v>
      </c>
      <c r="BX32" s="541">
        <f t="shared" si="38"/>
        <v>0</v>
      </c>
      <c r="BY32" s="542">
        <f t="shared" si="39"/>
        <v>0</v>
      </c>
      <c r="BZ32" s="563">
        <f t="shared" si="40"/>
        <v>1636080.5999999999</v>
      </c>
      <c r="CC32" s="147"/>
    </row>
    <row r="33" spans="1:81">
      <c r="A33" s="181" t="s">
        <v>103</v>
      </c>
      <c r="B33" s="180" t="s">
        <v>81</v>
      </c>
      <c r="C33" s="144"/>
      <c r="D33" s="179">
        <f>'Sizing - Reim Expen_FY2026'!B24</f>
        <v>110780790</v>
      </c>
      <c r="E33" s="178">
        <f>'Ridership-FY2026'!$E24</f>
        <v>8721363</v>
      </c>
      <c r="F33" s="178">
        <f>'Revenue Hours_FY2026'!$E24</f>
        <v>819202.73699999996</v>
      </c>
      <c r="G33" s="178">
        <f>'Revenue Miles_FY2026'!$E24</f>
        <v>10820543.213</v>
      </c>
      <c r="H33" s="177">
        <f t="shared" si="0"/>
        <v>0.1765071142056665</v>
      </c>
      <c r="I33" s="176">
        <f t="shared" si="1"/>
        <v>0.1765071142056665</v>
      </c>
      <c r="J33" s="167"/>
      <c r="K33" s="175">
        <f>'Ridership-FY2026'!B24/'Revenue Hours_FY2026'!B24</f>
        <v>5.8735316212753474</v>
      </c>
      <c r="L33" s="171">
        <f>'Ridership-FY2026'!C24/'Revenue Hours_FY2026'!C24</f>
        <v>6.1587343955565519</v>
      </c>
      <c r="M33" s="171">
        <f>'Ridership-FY2026'!D24/'Revenue Hours_FY2026'!D24</f>
        <v>9.8555669967058908</v>
      </c>
      <c r="N33" s="171">
        <f>'Ridership-FY2026'!E24/'Revenue Hours_FY2026'!E24</f>
        <v>10.646159498854312</v>
      </c>
      <c r="O33" s="174">
        <f t="shared" si="2"/>
        <v>1.0577335192633481</v>
      </c>
      <c r="P33" s="169">
        <f t="shared" si="3"/>
        <v>0.18669749108377734</v>
      </c>
      <c r="Q33" s="173">
        <f t="shared" si="4"/>
        <v>0.18044188380503706</v>
      </c>
      <c r="R33" s="172">
        <f>'Ridership-FY2026'!B24/'Revenue Miles_FY2026'!B24</f>
        <v>0.454872375587629</v>
      </c>
      <c r="S33" s="171">
        <f>'Ridership-FY2026'!C24/'Revenue Miles_FY2026'!C24</f>
        <v>0.47446458788106716</v>
      </c>
      <c r="T33" s="171">
        <f>'Ridership-FY2026'!D24/'Revenue Miles_FY2026'!D24</f>
        <v>0.7557807792342961</v>
      </c>
      <c r="U33" s="171">
        <f>'Ridership-FY2026'!E24/'Revenue Miles_FY2026'!E24</f>
        <v>0.80600047782462481</v>
      </c>
      <c r="V33" s="174">
        <f t="shared" si="5"/>
        <v>1.0532283509620195</v>
      </c>
      <c r="W33" s="169">
        <f t="shared" si="6"/>
        <v>0.18590229682789897</v>
      </c>
      <c r="X33" s="173">
        <f t="shared" si="7"/>
        <v>0.17992457125992581</v>
      </c>
      <c r="Y33" s="172">
        <f>'Op Cost_FY2026'!B24/'Revenue Hours_FY2026'!B24</f>
        <v>123.96447205256577</v>
      </c>
      <c r="Z33" s="171">
        <f>'Op Cost_FY2026'!C24/'Revenue Hours_FY2026'!C24</f>
        <v>123.17011468072208</v>
      </c>
      <c r="AA33" s="171">
        <f>'Op Cost_FY2026'!D24/'Revenue Hours_FY2026'!D24</f>
        <v>127.77476943594867</v>
      </c>
      <c r="AB33" s="171">
        <f>'Op Cost_FY2026'!E24/'Revenue Hours_FY2026'!E24</f>
        <v>135.70313913636252</v>
      </c>
      <c r="AC33" s="174">
        <f t="shared" si="8"/>
        <v>0.9854985928540646</v>
      </c>
      <c r="AD33" s="169">
        <f t="shared" si="9"/>
        <v>0.1791043797378655</v>
      </c>
      <c r="AE33" s="173">
        <f t="shared" si="10"/>
        <v>0.17942266602848159</v>
      </c>
      <c r="AF33" s="172">
        <f>'Op Cost_FY2026'!B24/'Revenue Miles_FY2026'!B24</f>
        <v>9.6003592943580749</v>
      </c>
      <c r="AG33" s="171">
        <f>'Op Cost_FY2026'!C24/'Revenue Miles_FY2026'!C24</f>
        <v>9.4889394391510358</v>
      </c>
      <c r="AH33" s="171">
        <f>'Op Cost_FY2026'!D24/'Revenue Miles_FY2026'!D24</f>
        <v>9.7984940737616739</v>
      </c>
      <c r="AI33" s="171">
        <f>'Op Cost_FY2026'!E24/'Revenue Miles_FY2026'!E24</f>
        <v>10.273826443984833</v>
      </c>
      <c r="AJ33" s="174">
        <f t="shared" si="11"/>
        <v>0.98269843075003915</v>
      </c>
      <c r="AK33" s="169">
        <f t="shared" si="12"/>
        <v>0.17961473091083335</v>
      </c>
      <c r="AL33" s="173">
        <f t="shared" si="13"/>
        <v>0.17991808533294795</v>
      </c>
      <c r="AM33" s="172">
        <f>'Op Cost_FY2026'!B24/'Ridership-FY2026'!B24</f>
        <v>21.10561073742015</v>
      </c>
      <c r="AN33" s="171">
        <f>'Op Cost_FY2026'!C24/'Ridership-FY2026'!C24</f>
        <v>19.999257439903197</v>
      </c>
      <c r="AO33" s="171">
        <f>'Op Cost_FY2026'!D24/'Ridership-FY2026'!D24</f>
        <v>12.964730439015423</v>
      </c>
      <c r="AP33" s="171">
        <f>'Op Cost_FY2026'!E24/'Ridership-FY2026'!E24</f>
        <v>12.746675376314458</v>
      </c>
      <c r="AQ33" s="174">
        <f t="shared" si="14"/>
        <v>0.97433760769024191</v>
      </c>
      <c r="AR33" s="169">
        <f t="shared" si="15"/>
        <v>0.18115601082472127</v>
      </c>
      <c r="AS33" s="168">
        <f t="shared" si="16"/>
        <v>0.18221431867647644</v>
      </c>
      <c r="AT33" s="167"/>
      <c r="AU33" s="166">
        <f t="shared" si="17"/>
        <v>0</v>
      </c>
      <c r="AV33" s="165">
        <f t="shared" si="18"/>
        <v>0</v>
      </c>
      <c r="AW33" s="165">
        <f t="shared" si="19"/>
        <v>0</v>
      </c>
      <c r="AX33" s="165">
        <f t="shared" si="20"/>
        <v>0</v>
      </c>
      <c r="AY33" s="164">
        <f t="shared" si="21"/>
        <v>0</v>
      </c>
      <c r="AZ33" s="163">
        <f t="shared" si="27"/>
        <v>-1</v>
      </c>
      <c r="BA33" s="162">
        <f t="shared" si="22"/>
        <v>0</v>
      </c>
      <c r="BB33" s="161">
        <f t="shared" si="22"/>
        <v>0</v>
      </c>
      <c r="BC33" s="161">
        <f t="shared" si="22"/>
        <v>0</v>
      </c>
      <c r="BD33" s="161">
        <f t="shared" si="22"/>
        <v>0</v>
      </c>
      <c r="BE33" s="161">
        <f t="shared" si="22"/>
        <v>0</v>
      </c>
      <c r="BF33" s="160">
        <f t="shared" si="28"/>
        <v>21246095.243847162</v>
      </c>
      <c r="BH33" s="159">
        <f>'Op Cost_FY2026'!E24</f>
        <v>111168383</v>
      </c>
      <c r="BI33" s="158">
        <f t="shared" si="23"/>
        <v>0.19111634684699122</v>
      </c>
      <c r="BJ33" s="157">
        <f t="shared" si="24"/>
        <v>21246095.243847162</v>
      </c>
      <c r="BK33" s="156">
        <f t="shared" si="25"/>
        <v>0</v>
      </c>
      <c r="BM33" s="548">
        <f t="shared" si="29"/>
        <v>0.93878346715545702</v>
      </c>
      <c r="BN33" s="548">
        <f t="shared" si="30"/>
        <v>1.0021093132226169</v>
      </c>
      <c r="BO33" s="566">
        <f t="shared" si="31"/>
        <v>0.85885673622348813</v>
      </c>
      <c r="BP33" s="401">
        <f t="shared" si="26"/>
        <v>21246095.243847162</v>
      </c>
      <c r="BQ33" s="551">
        <f t="shared" si="32"/>
        <v>0.1614425079252392</v>
      </c>
      <c r="BR33" s="552">
        <f t="shared" si="33"/>
        <v>0.1614425079252392</v>
      </c>
      <c r="BS33" s="553">
        <f t="shared" si="34"/>
        <v>0.16975211954234726</v>
      </c>
      <c r="BT33" s="540">
        <f t="shared" si="35"/>
        <v>22516580.307087503</v>
      </c>
      <c r="BU33" s="540">
        <f t="shared" si="36"/>
        <v>33350514.899999999</v>
      </c>
      <c r="BV33" s="540">
        <f t="shared" si="37"/>
        <v>22516580.307087503</v>
      </c>
      <c r="BW33" s="540">
        <f t="shared" si="41"/>
        <v>0</v>
      </c>
      <c r="BX33" s="541">
        <f t="shared" si="38"/>
        <v>0.1614425079252392</v>
      </c>
      <c r="BY33" s="542">
        <f t="shared" si="39"/>
        <v>0.18279663813885563</v>
      </c>
      <c r="BZ33" s="563">
        <f t="shared" si="40"/>
        <v>22567313.897001695</v>
      </c>
      <c r="CC33" s="147"/>
    </row>
    <row r="34" spans="1:81">
      <c r="A34" s="181" t="s">
        <v>103</v>
      </c>
      <c r="B34" s="180" t="s">
        <v>83</v>
      </c>
      <c r="C34" s="144"/>
      <c r="D34" s="179">
        <f>'Sizing - Reim Expen_FY2026'!B25</f>
        <v>43121644</v>
      </c>
      <c r="E34" s="178">
        <f>'Ridership-FY2026'!$E25</f>
        <v>1972474</v>
      </c>
      <c r="F34" s="178">
        <f>'Revenue Hours_FY2026'!$E25</f>
        <v>236658.2</v>
      </c>
      <c r="G34" s="178">
        <f>'Revenue Miles_FY2026'!$E25</f>
        <v>5670767.6500000004</v>
      </c>
      <c r="H34" s="177">
        <f t="shared" si="0"/>
        <v>6.00105744931968E-2</v>
      </c>
      <c r="I34" s="176">
        <f t="shared" si="1"/>
        <v>6.00105744931968E-2</v>
      </c>
      <c r="J34" s="167"/>
      <c r="K34" s="175">
        <f>'Ridership-FY2026'!B25/'Revenue Hours_FY2026'!B25</f>
        <v>3.1822121529637459</v>
      </c>
      <c r="L34" s="171">
        <f>'Ridership-FY2026'!C25/'Revenue Hours_FY2026'!C25</f>
        <v>5.5899358680714615</v>
      </c>
      <c r="M34" s="171">
        <f>'Ridership-FY2026'!D25/'Revenue Hours_FY2026'!D25</f>
        <v>7.9037213878664074</v>
      </c>
      <c r="N34" s="171">
        <f>'Ridership-FY2026'!E25/'Revenue Hours_FY2026'!E25</f>
        <v>8.3346953538901243</v>
      </c>
      <c r="O34" s="174">
        <f t="shared" si="2"/>
        <v>1.1815671689829572</v>
      </c>
      <c r="P34" s="169">
        <f t="shared" si="3"/>
        <v>7.0906524612967411E-2</v>
      </c>
      <c r="Q34" s="173">
        <f t="shared" si="4"/>
        <v>6.8530684590135962E-2</v>
      </c>
      <c r="R34" s="172">
        <f>'Ridership-FY2026'!B25/'Revenue Miles_FY2026'!B25</f>
        <v>0.14309026388335411</v>
      </c>
      <c r="S34" s="171">
        <f>'Ridership-FY2026'!C25/'Revenue Miles_FY2026'!C25</f>
        <v>0.23474655175730527</v>
      </c>
      <c r="T34" s="171">
        <f>'Ridership-FY2026'!D25/'Revenue Miles_FY2026'!D25</f>
        <v>0.3221618701088883</v>
      </c>
      <c r="U34" s="171">
        <f>'Ridership-FY2026'!E25/'Revenue Miles_FY2026'!E25</f>
        <v>0.34783192007523001</v>
      </c>
      <c r="V34" s="174">
        <f t="shared" si="5"/>
        <v>1.1540245701714695</v>
      </c>
      <c r="W34" s="169">
        <f t="shared" si="6"/>
        <v>6.9253677435254388E-2</v>
      </c>
      <c r="X34" s="173">
        <f t="shared" si="7"/>
        <v>6.7026811574290163E-2</v>
      </c>
      <c r="Y34" s="172">
        <f>'Op Cost_FY2026'!B25/'Revenue Hours_FY2026'!B25</f>
        <v>162.67460550900779</v>
      </c>
      <c r="Z34" s="171">
        <f>'Op Cost_FY2026'!C25/'Revenue Hours_FY2026'!C25</f>
        <v>182.03086120018324</v>
      </c>
      <c r="AA34" s="171">
        <f>'Op Cost_FY2026'!D25/'Revenue Hours_FY2026'!D25</f>
        <v>228.02756454118199</v>
      </c>
      <c r="AB34" s="171">
        <f>'Op Cost_FY2026'!E25/'Revenue Hours_FY2026'!E25</f>
        <v>209.00700250403324</v>
      </c>
      <c r="AC34" s="174">
        <f t="shared" si="8"/>
        <v>1.045677971525393</v>
      </c>
      <c r="AD34" s="169">
        <f t="shared" si="9"/>
        <v>5.7389154335589367E-2</v>
      </c>
      <c r="AE34" s="173">
        <f t="shared" si="10"/>
        <v>5.74911405688786E-2</v>
      </c>
      <c r="AF34" s="172">
        <f>'Op Cost_FY2026'!B25/'Revenue Miles_FY2026'!B25</f>
        <v>7.31477070368339</v>
      </c>
      <c r="AG34" s="171">
        <f>'Op Cost_FY2026'!C25/'Revenue Miles_FY2026'!C25</f>
        <v>7.6442946732585657</v>
      </c>
      <c r="AH34" s="171">
        <f>'Op Cost_FY2026'!D25/'Revenue Miles_FY2026'!D25</f>
        <v>9.2945820106638735</v>
      </c>
      <c r="AI34" s="171">
        <f>'Op Cost_FY2026'!E25/'Revenue Miles_FY2026'!E25</f>
        <v>8.722491213336875</v>
      </c>
      <c r="AJ34" s="174">
        <f t="shared" si="11"/>
        <v>1.0220822440114024</v>
      </c>
      <c r="AK34" s="169">
        <f t="shared" si="12"/>
        <v>5.871403680556192E-2</v>
      </c>
      <c r="AL34" s="173">
        <f t="shared" si="13"/>
        <v>5.8813199956684582E-2</v>
      </c>
      <c r="AM34" s="172">
        <f>'Op Cost_FY2026'!B25/'Ridership-FY2026'!B25</f>
        <v>51.119974938660576</v>
      </c>
      <c r="AN34" s="171">
        <f>'Op Cost_FY2026'!C25/'Ridership-FY2026'!C25</f>
        <v>32.564033916722593</v>
      </c>
      <c r="AO34" s="171">
        <f>'Op Cost_FY2026'!D25/'Ridership-FY2026'!D25</f>
        <v>28.850658234391222</v>
      </c>
      <c r="AP34" s="171">
        <f>'Op Cost_FY2026'!E25/'Ridership-FY2026'!E25</f>
        <v>25.07674169596152</v>
      </c>
      <c r="AQ34" s="174">
        <f t="shared" si="14"/>
        <v>0.88959546780913978</v>
      </c>
      <c r="AR34" s="169">
        <f t="shared" si="15"/>
        <v>6.745827363642988E-2</v>
      </c>
      <c r="AS34" s="168">
        <f t="shared" si="16"/>
        <v>6.7852362799302637E-2</v>
      </c>
      <c r="AT34" s="167"/>
      <c r="AU34" s="166">
        <f t="shared" si="17"/>
        <v>0</v>
      </c>
      <c r="AV34" s="165">
        <f t="shared" si="18"/>
        <v>0</v>
      </c>
      <c r="AW34" s="165">
        <f t="shared" si="19"/>
        <v>0</v>
      </c>
      <c r="AX34" s="165">
        <f t="shared" si="20"/>
        <v>0</v>
      </c>
      <c r="AY34" s="164">
        <f t="shared" si="21"/>
        <v>0</v>
      </c>
      <c r="AZ34" s="163">
        <f t="shared" si="27"/>
        <v>-1</v>
      </c>
      <c r="BA34" s="162">
        <f t="shared" si="22"/>
        <v>0</v>
      </c>
      <c r="BB34" s="161">
        <f t="shared" si="22"/>
        <v>0</v>
      </c>
      <c r="BC34" s="161">
        <f t="shared" si="22"/>
        <v>0</v>
      </c>
      <c r="BD34" s="161">
        <f t="shared" si="22"/>
        <v>0</v>
      </c>
      <c r="BE34" s="161">
        <f t="shared" si="22"/>
        <v>0</v>
      </c>
      <c r="BF34" s="160">
        <f t="shared" si="28"/>
        <v>7223450.3807864795</v>
      </c>
      <c r="BH34" s="159">
        <f>'Op Cost_FY2026'!E25</f>
        <v>49463221</v>
      </c>
      <c r="BI34" s="158">
        <f t="shared" si="23"/>
        <v>0.14603679733647915</v>
      </c>
      <c r="BJ34" s="157">
        <f t="shared" si="24"/>
        <v>7223450.3807864795</v>
      </c>
      <c r="BK34" s="156">
        <f t="shared" si="25"/>
        <v>0</v>
      </c>
      <c r="BM34" s="548">
        <f t="shared" si="29"/>
        <v>0.7349574466596599</v>
      </c>
      <c r="BN34" s="548">
        <f t="shared" si="30"/>
        <v>0.43246327531251938</v>
      </c>
      <c r="BO34" s="566">
        <f t="shared" si="31"/>
        <v>0.43656261822742254</v>
      </c>
      <c r="BP34" s="401">
        <f t="shared" si="26"/>
        <v>7223450.3807864795</v>
      </c>
      <c r="BQ34" s="551">
        <f t="shared" si="32"/>
        <v>3.0613583811244148E-2</v>
      </c>
      <c r="BR34" s="552">
        <f t="shared" si="33"/>
        <v>3.0613583811244148E-2</v>
      </c>
      <c r="BS34" s="553">
        <f t="shared" si="34"/>
        <v>3.218929639740533E-2</v>
      </c>
      <c r="BT34" s="540">
        <f t="shared" si="35"/>
        <v>7464366.4905786607</v>
      </c>
      <c r="BU34" s="540">
        <f t="shared" si="36"/>
        <v>14838966.299999999</v>
      </c>
      <c r="BV34" s="540">
        <f t="shared" si="37"/>
        <v>7464366.4905786607</v>
      </c>
      <c r="BW34" s="540">
        <f t="shared" si="41"/>
        <v>0</v>
      </c>
      <c r="BX34" s="541">
        <f t="shared" si="38"/>
        <v>3.0613583811244148E-2</v>
      </c>
      <c r="BY34" s="542">
        <f t="shared" si="39"/>
        <v>3.4662867134527847E-2</v>
      </c>
      <c r="BZ34" s="563">
        <f t="shared" si="40"/>
        <v>7473986.8627275042</v>
      </c>
      <c r="CC34" s="147"/>
    </row>
    <row r="35" spans="1:81">
      <c r="A35" s="181" t="s">
        <v>55</v>
      </c>
      <c r="B35" s="180" t="s">
        <v>84</v>
      </c>
      <c r="C35" s="144"/>
      <c r="D35" s="179">
        <f>'Sizing - Reim Expen_FY2026'!B26</f>
        <v>3929042</v>
      </c>
      <c r="E35" s="178">
        <f>'Ridership-FY2026'!$E26</f>
        <v>471466</v>
      </c>
      <c r="F35" s="178">
        <f>'Revenue Hours_FY2026'!$E26</f>
        <v>41575</v>
      </c>
      <c r="G35" s="178">
        <f>'Revenue Miles_FY2026'!$E26</f>
        <v>539337</v>
      </c>
      <c r="H35" s="182">
        <f t="shared" si="0"/>
        <v>8.0836285974683411E-3</v>
      </c>
      <c r="I35" s="176">
        <f t="shared" si="1"/>
        <v>8.0836285974683411E-3</v>
      </c>
      <c r="J35" s="167"/>
      <c r="K35" s="175">
        <f>'Ridership-FY2026'!B26/'Revenue Hours_FY2026'!B26</f>
        <v>7.0651748073074137</v>
      </c>
      <c r="L35" s="171">
        <f>'Ridership-FY2026'!C26/'Revenue Hours_FY2026'!C26</f>
        <v>8.5454680032144825</v>
      </c>
      <c r="M35" s="171">
        <f>'Ridership-FY2026'!D26/'Revenue Hours_FY2026'!D26</f>
        <v>10.854112978631212</v>
      </c>
      <c r="N35" s="171">
        <f>'Ridership-FY2026'!E26/'Revenue Hours_FY2026'!E26</f>
        <v>11.340132291040289</v>
      </c>
      <c r="O35" s="174">
        <f t="shared" si="2"/>
        <v>0.99594867084409577</v>
      </c>
      <c r="P35" s="169">
        <f t="shared" si="3"/>
        <v>8.0508791572459163E-3</v>
      </c>
      <c r="Q35" s="173">
        <f t="shared" si="4"/>
        <v>7.7811211762255595E-3</v>
      </c>
      <c r="R35" s="172">
        <f>'Ridership-FY2026'!B26/'Revenue Miles_FY2026'!B26</f>
        <v>0.60435953803758868</v>
      </c>
      <c r="S35" s="171">
        <f>'Ridership-FY2026'!C26/'Revenue Miles_FY2026'!C26</f>
        <v>0.7290038463481342</v>
      </c>
      <c r="T35" s="171">
        <f>'Ridership-FY2026'!D26/'Revenue Miles_FY2026'!D26</f>
        <v>0.86015998033680452</v>
      </c>
      <c r="U35" s="171">
        <f>'Ridership-FY2026'!E26/'Revenue Miles_FY2026'!E26</f>
        <v>0.8741584575135769</v>
      </c>
      <c r="V35" s="174">
        <f t="shared" si="5"/>
        <v>0.96537457981459074</v>
      </c>
      <c r="W35" s="169">
        <f t="shared" si="6"/>
        <v>7.8037295606582097E-3</v>
      </c>
      <c r="X35" s="173">
        <f t="shared" si="7"/>
        <v>7.5527990745035394E-3</v>
      </c>
      <c r="Y35" s="172">
        <f>'Op Cost_FY2026'!B26/'Revenue Hours_FY2026'!B26</f>
        <v>99.128071370778855</v>
      </c>
      <c r="Z35" s="171">
        <f>'Op Cost_FY2026'!C26/'Revenue Hours_FY2026'!C26</f>
        <v>86.295224802267057</v>
      </c>
      <c r="AA35" s="171">
        <f>'Op Cost_FY2026'!D26/'Revenue Hours_FY2026'!D26</f>
        <v>108.01972678966453</v>
      </c>
      <c r="AB35" s="171">
        <f>'Op Cost_FY2026'!E26/'Revenue Hours_FY2026'!E26</f>
        <v>94.504918821407102</v>
      </c>
      <c r="AC35" s="174">
        <f t="shared" si="8"/>
        <v>0.94994437862677639</v>
      </c>
      <c r="AD35" s="169">
        <f t="shared" si="9"/>
        <v>8.5095809600493656E-3</v>
      </c>
      <c r="AE35" s="173">
        <f t="shared" si="10"/>
        <v>8.5247033314979903E-3</v>
      </c>
      <c r="AF35" s="172">
        <f>'Op Cost_FY2026'!B26/'Revenue Miles_FY2026'!B26</f>
        <v>8.4794781522232086</v>
      </c>
      <c r="AG35" s="171">
        <f>'Op Cost_FY2026'!C26/'Revenue Miles_FY2026'!C26</f>
        <v>7.3617443513527165</v>
      </c>
      <c r="AH35" s="171">
        <f>'Op Cost_FY2026'!D26/'Revenue Miles_FY2026'!D26</f>
        <v>8.5602799836621983</v>
      </c>
      <c r="AI35" s="171">
        <f>'Op Cost_FY2026'!E26/'Revenue Miles_FY2026'!E26</f>
        <v>7.2849480009715633</v>
      </c>
      <c r="AJ35" s="174">
        <f t="shared" si="11"/>
        <v>0.91837200860332668</v>
      </c>
      <c r="AK35" s="169">
        <f t="shared" si="12"/>
        <v>8.8021286817768322E-3</v>
      </c>
      <c r="AL35" s="173">
        <f t="shared" si="13"/>
        <v>8.816994748975765E-3</v>
      </c>
      <c r="AM35" s="172">
        <f>'Op Cost_FY2026'!B26/'Ridership-FY2026'!B26</f>
        <v>14.030519282870687</v>
      </c>
      <c r="AN35" s="171">
        <f>'Op Cost_FY2026'!C26/'Ridership-FY2026'!C26</f>
        <v>10.098361467131589</v>
      </c>
      <c r="AO35" s="171">
        <f>'Op Cost_FY2026'!D26/'Ridership-FY2026'!D26</f>
        <v>9.9519626341024754</v>
      </c>
      <c r="AP35" s="171">
        <f>'Op Cost_FY2026'!E26/'Ridership-FY2026'!E26</f>
        <v>8.3336698722707467</v>
      </c>
      <c r="AQ35" s="170">
        <f t="shared" si="14"/>
        <v>0.94966951764901175</v>
      </c>
      <c r="AR35" s="169">
        <f t="shared" si="15"/>
        <v>8.5120438713038368E-3</v>
      </c>
      <c r="AS35" s="168">
        <f t="shared" si="16"/>
        <v>8.5617709701865854E-3</v>
      </c>
      <c r="AT35" s="167"/>
      <c r="AU35" s="166">
        <f t="shared" si="17"/>
        <v>0</v>
      </c>
      <c r="AV35" s="165">
        <f t="shared" si="18"/>
        <v>0</v>
      </c>
      <c r="AW35" s="165">
        <f t="shared" si="19"/>
        <v>0</v>
      </c>
      <c r="AX35" s="165">
        <f t="shared" si="20"/>
        <v>0</v>
      </c>
      <c r="AY35" s="164">
        <f t="shared" si="21"/>
        <v>0</v>
      </c>
      <c r="AZ35" s="163">
        <f t="shared" si="27"/>
        <v>-1</v>
      </c>
      <c r="BA35" s="162">
        <f t="shared" si="22"/>
        <v>0</v>
      </c>
      <c r="BB35" s="161">
        <f t="shared" si="22"/>
        <v>0</v>
      </c>
      <c r="BC35" s="161">
        <f t="shared" si="22"/>
        <v>0</v>
      </c>
      <c r="BD35" s="161">
        <f t="shared" si="22"/>
        <v>0</v>
      </c>
      <c r="BE35" s="161">
        <f t="shared" si="22"/>
        <v>0</v>
      </c>
      <c r="BF35" s="160">
        <f t="shared" si="28"/>
        <v>973023.34736253589</v>
      </c>
      <c r="BH35" s="159">
        <f>'Op Cost_FY2026'!E26</f>
        <v>3929042</v>
      </c>
      <c r="BI35" s="158">
        <f t="shared" si="23"/>
        <v>0.24764900638948015</v>
      </c>
      <c r="BJ35" s="157">
        <f t="shared" si="24"/>
        <v>973023.34736253589</v>
      </c>
      <c r="BK35" s="156">
        <f t="shared" si="25"/>
        <v>0</v>
      </c>
      <c r="BM35" s="548">
        <f t="shared" si="29"/>
        <v>0.99997832188499736</v>
      </c>
      <c r="BN35" s="548">
        <f t="shared" si="30"/>
        <v>1.0868508836011872</v>
      </c>
      <c r="BO35" s="566">
        <f t="shared" si="31"/>
        <v>1.3136551098368334</v>
      </c>
      <c r="BP35" s="401">
        <f t="shared" si="26"/>
        <v>973023.34736253589</v>
      </c>
      <c r="BQ35" s="551">
        <f t="shared" si="32"/>
        <v>9.5268380674187851E-3</v>
      </c>
      <c r="BR35" s="552">
        <f t="shared" si="33"/>
        <v>9.5268380674187851E-3</v>
      </c>
      <c r="BS35" s="553">
        <f t="shared" si="34"/>
        <v>1.0017194202842486E-2</v>
      </c>
      <c r="BT35" s="540">
        <f t="shared" si="35"/>
        <v>1047995.5812562887</v>
      </c>
      <c r="BU35" s="540">
        <f t="shared" si="36"/>
        <v>1178712.5999999999</v>
      </c>
      <c r="BV35" s="540">
        <f t="shared" si="37"/>
        <v>1047995.5812562887</v>
      </c>
      <c r="BW35" s="540">
        <f t="shared" si="41"/>
        <v>0</v>
      </c>
      <c r="BX35" s="541">
        <f t="shared" si="38"/>
        <v>9.5268380674187851E-3</v>
      </c>
      <c r="BY35" s="542">
        <f t="shared" si="39"/>
        <v>1.0786960591716452E-2</v>
      </c>
      <c r="BZ35" s="563">
        <f t="shared" si="40"/>
        <v>1050989.4067481174</v>
      </c>
      <c r="CC35" s="147"/>
    </row>
    <row r="36" spans="1:81">
      <c r="A36" s="181" t="s">
        <v>55</v>
      </c>
      <c r="B36" s="180" t="s">
        <v>85</v>
      </c>
      <c r="C36" s="144"/>
      <c r="D36" s="179">
        <f>'Sizing - Reim Expen_FY2026'!B27</f>
        <v>74193463</v>
      </c>
      <c r="E36" s="178">
        <f>'Ridership-FY2026'!$E27</f>
        <v>10824111</v>
      </c>
      <c r="F36" s="178">
        <f>'Revenue Hours_FY2026'!$E27</f>
        <v>633650.79</v>
      </c>
      <c r="G36" s="178">
        <f>'Revenue Miles_FY2026'!$E27</f>
        <v>7725466.0599999996</v>
      </c>
      <c r="H36" s="177">
        <f t="shared" si="0"/>
        <v>0.15487192680007283</v>
      </c>
      <c r="I36" s="176">
        <f t="shared" si="1"/>
        <v>0.15487192680007283</v>
      </c>
      <c r="J36" s="167"/>
      <c r="K36" s="175">
        <f>'Ridership-FY2026'!B27/'Revenue Hours_FY2026'!B27</f>
        <v>12.685908078458269</v>
      </c>
      <c r="L36" s="171">
        <f>'Ridership-FY2026'!C27/'Revenue Hours_FY2026'!C27</f>
        <v>14.999735241854868</v>
      </c>
      <c r="M36" s="171">
        <f>'Ridership-FY2026'!D27/'Revenue Hours_FY2026'!D27</f>
        <v>16.489050494667865</v>
      </c>
      <c r="N36" s="171">
        <f>'Ridership-FY2026'!E27/'Revenue Hours_FY2026'!E27</f>
        <v>17.082139201625552</v>
      </c>
      <c r="O36" s="174">
        <f t="shared" si="2"/>
        <v>0.93821685004918709</v>
      </c>
      <c r="P36" s="169">
        <f t="shared" si="3"/>
        <v>0.1453034513234126</v>
      </c>
      <c r="Q36" s="173">
        <f t="shared" si="4"/>
        <v>0.14043481960025281</v>
      </c>
      <c r="R36" s="172">
        <f>'Ridership-FY2026'!B27/'Revenue Miles_FY2026'!B27</f>
        <v>1.0554722157446399</v>
      </c>
      <c r="S36" s="171">
        <f>'Ridership-FY2026'!C27/'Revenue Miles_FY2026'!C27</f>
        <v>1.2009259173704827</v>
      </c>
      <c r="T36" s="171">
        <f>'Ridership-FY2026'!D27/'Revenue Miles_FY2026'!D27</f>
        <v>1.3706452252341543</v>
      </c>
      <c r="U36" s="171">
        <f>'Ridership-FY2026'!E27/'Revenue Miles_FY2026'!E27</f>
        <v>1.4010948874714233</v>
      </c>
      <c r="V36" s="174">
        <f t="shared" si="5"/>
        <v>0.93828620848089661</v>
      </c>
      <c r="W36" s="169">
        <f t="shared" si="6"/>
        <v>0.14531419299737131</v>
      </c>
      <c r="X36" s="173">
        <f t="shared" si="7"/>
        <v>0.14064158603289723</v>
      </c>
      <c r="Y36" s="172">
        <f>'Op Cost_FY2026'!B27/'Revenue Hours_FY2026'!B27</f>
        <v>106.94058914595765</v>
      </c>
      <c r="Z36" s="171">
        <f>'Op Cost_FY2026'!C27/'Revenue Hours_FY2026'!C27</f>
        <v>99.059409351732896</v>
      </c>
      <c r="AA36" s="171">
        <f>'Op Cost_FY2026'!D27/'Revenue Hours_FY2026'!D27</f>
        <v>117.86879438091567</v>
      </c>
      <c r="AB36" s="171">
        <f>'Op Cost_FY2026'!E27/'Revenue Hours_FY2026'!E27</f>
        <v>120.78064796541956</v>
      </c>
      <c r="AC36" s="174">
        <f t="shared" si="8"/>
        <v>0.99770100373043302</v>
      </c>
      <c r="AD36" s="169">
        <f t="shared" si="9"/>
        <v>0.15522879722582436</v>
      </c>
      <c r="AE36" s="173">
        <f t="shared" si="10"/>
        <v>0.15550465423243759</v>
      </c>
      <c r="AF36" s="172">
        <f>'Op Cost_FY2026'!B27/'Revenue Miles_FY2026'!B27</f>
        <v>8.897496330640184</v>
      </c>
      <c r="AG36" s="171">
        <f>'Op Cost_FY2026'!C27/'Revenue Miles_FY2026'!C27</f>
        <v>7.9310074565820816</v>
      </c>
      <c r="AH36" s="171">
        <f>'Op Cost_FY2026'!D27/'Revenue Miles_FY2026'!D27</f>
        <v>9.7977928004133119</v>
      </c>
      <c r="AI36" s="171">
        <f>'Op Cost_FY2026'!E27/'Revenue Miles_FY2026'!E27</f>
        <v>9.9065548156715355</v>
      </c>
      <c r="AJ36" s="174">
        <f t="shared" si="11"/>
        <v>0.99958570531382751</v>
      </c>
      <c r="AK36" s="169">
        <f t="shared" si="12"/>
        <v>0.15493611600963184</v>
      </c>
      <c r="AL36" s="173">
        <f t="shared" si="13"/>
        <v>0.15519779029268446</v>
      </c>
      <c r="AM36" s="172">
        <f>'Op Cost_FY2026'!B27/'Ridership-FY2026'!B27</f>
        <v>8.4298726180707302</v>
      </c>
      <c r="AN36" s="171">
        <f>'Op Cost_FY2026'!C27/'Ridership-FY2026'!C27</f>
        <v>6.6040771889973175</v>
      </c>
      <c r="AO36" s="171">
        <f>'Op Cost_FY2026'!D27/'Ridership-FY2026'!D27</f>
        <v>7.148306957943479</v>
      </c>
      <c r="AP36" s="171">
        <f>'Op Cost_FY2026'!E27/'Ridership-FY2026'!E27</f>
        <v>7.0705809465553333</v>
      </c>
      <c r="AQ36" s="174">
        <f t="shared" si="14"/>
        <v>1.0639513252329815</v>
      </c>
      <c r="AR36" s="169">
        <f t="shared" si="15"/>
        <v>0.145562981244616</v>
      </c>
      <c r="AS36" s="168">
        <f t="shared" si="16"/>
        <v>0.14641335571066183</v>
      </c>
      <c r="AT36" s="167"/>
      <c r="AU36" s="166">
        <f t="shared" si="17"/>
        <v>0</v>
      </c>
      <c r="AV36" s="165">
        <f t="shared" si="18"/>
        <v>0</v>
      </c>
      <c r="AW36" s="165">
        <f t="shared" si="19"/>
        <v>0</v>
      </c>
      <c r="AX36" s="165">
        <f t="shared" si="20"/>
        <v>0</v>
      </c>
      <c r="AY36" s="164">
        <f t="shared" si="21"/>
        <v>0</v>
      </c>
      <c r="AZ36" s="163">
        <f t="shared" si="27"/>
        <v>-1</v>
      </c>
      <c r="BA36" s="162">
        <f t="shared" si="22"/>
        <v>0</v>
      </c>
      <c r="BB36" s="161">
        <f t="shared" si="22"/>
        <v>0</v>
      </c>
      <c r="BC36" s="161">
        <f t="shared" si="22"/>
        <v>0</v>
      </c>
      <c r="BD36" s="161">
        <f t="shared" si="22"/>
        <v>0</v>
      </c>
      <c r="BE36" s="161">
        <f t="shared" si="22"/>
        <v>0</v>
      </c>
      <c r="BF36" s="160">
        <f t="shared" si="28"/>
        <v>18641875.837131776</v>
      </c>
      <c r="BG36" s="114"/>
      <c r="BH36" s="159">
        <f>'Op Cost_FY2026'!E27</f>
        <v>76532753</v>
      </c>
      <c r="BI36" s="158">
        <f t="shared" si="23"/>
        <v>0.24358036404533592</v>
      </c>
      <c r="BJ36" s="149">
        <f t="shared" si="24"/>
        <v>18641875.837131776</v>
      </c>
      <c r="BK36" s="156">
        <f t="shared" si="25"/>
        <v>0</v>
      </c>
      <c r="BM36" s="548">
        <f t="shared" si="29"/>
        <v>1.5063112541062293</v>
      </c>
      <c r="BN36" s="548">
        <f t="shared" si="30"/>
        <v>1.7419967780083756</v>
      </c>
      <c r="BO36" s="566">
        <f t="shared" si="31"/>
        <v>1.5483265228347618</v>
      </c>
      <c r="BP36" s="401">
        <f t="shared" si="26"/>
        <v>18641875.837131776</v>
      </c>
      <c r="BQ36" s="551">
        <f t="shared" si="32"/>
        <v>0.24566408689697372</v>
      </c>
      <c r="BR36" s="552">
        <f t="shared" si="33"/>
        <v>0.24566408689697372</v>
      </c>
      <c r="BS36" s="553">
        <f t="shared" si="34"/>
        <v>0.25830866964423044</v>
      </c>
      <c r="BT36" s="540">
        <f t="shared" si="35"/>
        <v>20575149.526869774</v>
      </c>
      <c r="BU36" s="540">
        <f t="shared" si="36"/>
        <v>22959825.899999999</v>
      </c>
      <c r="BV36" s="540">
        <f t="shared" si="37"/>
        <v>20575149.526869774</v>
      </c>
      <c r="BW36" s="540">
        <f t="shared" si="41"/>
        <v>0</v>
      </c>
      <c r="BX36" s="541">
        <f t="shared" si="38"/>
        <v>0.24566408689697372</v>
      </c>
      <c r="BY36" s="542">
        <f t="shared" si="39"/>
        <v>0.27815827301824264</v>
      </c>
      <c r="BZ36" s="563">
        <f t="shared" si="40"/>
        <v>20652349.894985009</v>
      </c>
      <c r="CC36" s="147"/>
    </row>
    <row r="37" spans="1:81">
      <c r="A37" s="181" t="s">
        <v>56</v>
      </c>
      <c r="B37" s="180" t="s">
        <v>86</v>
      </c>
      <c r="C37" s="144"/>
      <c r="D37" s="179">
        <f>'Sizing - Reim Expen_FY2026'!B28</f>
        <v>12808994</v>
      </c>
      <c r="E37" s="178">
        <f>'Ridership-FY2026'!$E28</f>
        <v>3791431</v>
      </c>
      <c r="F37" s="178">
        <f>'Revenue Hours_FY2026'!$E28</f>
        <v>99331.900000000009</v>
      </c>
      <c r="G37" s="178">
        <f>'Revenue Miles_FY2026'!$E28</f>
        <v>1022384</v>
      </c>
      <c r="H37" s="177">
        <f t="shared" si="0"/>
        <v>3.8382149811633182E-2</v>
      </c>
      <c r="I37" s="176">
        <f t="shared" si="1"/>
        <v>3.8382149811633182E-2</v>
      </c>
      <c r="J37" s="167"/>
      <c r="K37" s="175">
        <f>'Ridership-FY2026'!B28/'Revenue Hours_FY2026'!B28</f>
        <v>7.7359808402431227</v>
      </c>
      <c r="L37" s="171">
        <f>'Ridership-FY2026'!C28/'Revenue Hours_FY2026'!C28</f>
        <v>32.633977790205321</v>
      </c>
      <c r="M37" s="171">
        <f>'Ridership-FY2026'!D28/'Revenue Hours_FY2026'!D28</f>
        <v>37.897163158744682</v>
      </c>
      <c r="N37" s="171">
        <f>'Ridership-FY2026'!E28/'Revenue Hours_FY2026'!E28</f>
        <v>38.169319221720308</v>
      </c>
      <c r="O37" s="174">
        <f t="shared" si="2"/>
        <v>1.7360665328826819</v>
      </c>
      <c r="P37" s="169">
        <f t="shared" si="3"/>
        <v>6.6633965748065696E-2</v>
      </c>
      <c r="Q37" s="173">
        <f t="shared" si="4"/>
        <v>6.4401284854898891E-2</v>
      </c>
      <c r="R37" s="172">
        <f>'Ridership-FY2026'!B28/'Revenue Miles_FY2026'!B28</f>
        <v>0.74890286156611607</v>
      </c>
      <c r="S37" s="171">
        <f>'Ridership-FY2026'!C28/'Revenue Miles_FY2026'!C28</f>
        <v>3.1121743743196539</v>
      </c>
      <c r="T37" s="171">
        <f>'Ridership-FY2026'!D28/'Revenue Miles_FY2026'!D28</f>
        <v>3.6271477751754029</v>
      </c>
      <c r="U37" s="171">
        <f>'Ridership-FY2026'!E28/'Revenue Miles_FY2026'!E28</f>
        <v>3.7084216889153194</v>
      </c>
      <c r="V37" s="174">
        <f t="shared" si="5"/>
        <v>1.7450415348457822</v>
      </c>
      <c r="W37" s="169">
        <f t="shared" si="6"/>
        <v>6.6978445617973115E-2</v>
      </c>
      <c r="X37" s="173">
        <f t="shared" si="7"/>
        <v>6.4824740291543975E-2</v>
      </c>
      <c r="Y37" s="172">
        <f>'Op Cost_FY2026'!B28/'Revenue Hours_FY2026'!B28</f>
        <v>94.638769882541524</v>
      </c>
      <c r="Z37" s="171">
        <f>'Op Cost_FY2026'!C28/'Revenue Hours_FY2026'!C28</f>
        <v>99.879114404410004</v>
      </c>
      <c r="AA37" s="171">
        <f>'Op Cost_FY2026'!D28/'Revenue Hours_FY2026'!D28</f>
        <v>129.41512623136137</v>
      </c>
      <c r="AB37" s="171">
        <f>'Op Cost_FY2026'!E28/'Revenue Hours_FY2026'!E28</f>
        <v>128.95146473590054</v>
      </c>
      <c r="AC37" s="174">
        <f t="shared" si="8"/>
        <v>1.0634476998773559</v>
      </c>
      <c r="AD37" s="169">
        <f t="shared" si="9"/>
        <v>3.6092183768002578E-2</v>
      </c>
      <c r="AE37" s="173">
        <f t="shared" si="10"/>
        <v>3.6156323167098041E-2</v>
      </c>
      <c r="AF37" s="172">
        <f>'Op Cost_FY2026'!B28/'Revenue Miles_FY2026'!B28</f>
        <v>9.1617659148578081</v>
      </c>
      <c r="AG37" s="171">
        <f>'Op Cost_FY2026'!C28/'Revenue Miles_FY2026'!C28</f>
        <v>9.5250791177666656</v>
      </c>
      <c r="AH37" s="171">
        <f>'Op Cost_FY2026'!D28/'Revenue Miles_FY2026'!D28</f>
        <v>12.386356868398249</v>
      </c>
      <c r="AI37" s="171">
        <f>'Op Cost_FY2026'!E28/'Revenue Miles_FY2026'!E28</f>
        <v>12.528554828714064</v>
      </c>
      <c r="AJ37" s="174">
        <f t="shared" si="11"/>
        <v>1.0693597112593702</v>
      </c>
      <c r="AK37" s="169">
        <f t="shared" si="12"/>
        <v>3.5892646232604977E-2</v>
      </c>
      <c r="AL37" s="173">
        <f t="shared" si="13"/>
        <v>3.5953265942919616E-2</v>
      </c>
      <c r="AM37" s="172">
        <f>'Op Cost_FY2026'!B28/'Ridership-FY2026'!B28</f>
        <v>12.233583799771571</v>
      </c>
      <c r="AN37" s="171">
        <f>'Op Cost_FY2026'!C28/'Ridership-FY2026'!C28</f>
        <v>3.0605865777841972</v>
      </c>
      <c r="AO37" s="171">
        <f>'Op Cost_FY2026'!D28/'Ridership-FY2026'!D28</f>
        <v>3.4149027379506931</v>
      </c>
      <c r="AP37" s="171">
        <f>'Op Cost_FY2026'!E28/'Ridership-FY2026'!E28</f>
        <v>3.3784062007194646</v>
      </c>
      <c r="AQ37" s="174">
        <f t="shared" si="14"/>
        <v>0.85035846976223872</v>
      </c>
      <c r="AR37" s="169">
        <f t="shared" si="15"/>
        <v>4.5136435017063894E-2</v>
      </c>
      <c r="AS37" s="168">
        <f t="shared" si="16"/>
        <v>4.5400120684248375E-2</v>
      </c>
      <c r="AT37" s="167"/>
      <c r="AU37" s="166">
        <f t="shared" si="17"/>
        <v>0</v>
      </c>
      <c r="AV37" s="165">
        <f t="shared" si="18"/>
        <v>0</v>
      </c>
      <c r="AW37" s="165">
        <f t="shared" si="19"/>
        <v>0</v>
      </c>
      <c r="AX37" s="165">
        <f t="shared" si="20"/>
        <v>0</v>
      </c>
      <c r="AY37" s="164">
        <f t="shared" si="21"/>
        <v>0</v>
      </c>
      <c r="AZ37" s="163">
        <f t="shared" si="27"/>
        <v>-1</v>
      </c>
      <c r="BA37" s="162">
        <f t="shared" si="22"/>
        <v>0</v>
      </c>
      <c r="BB37" s="161">
        <f t="shared" si="22"/>
        <v>0</v>
      </c>
      <c r="BC37" s="161">
        <f t="shared" si="22"/>
        <v>0</v>
      </c>
      <c r="BD37" s="161">
        <f t="shared" si="22"/>
        <v>0</v>
      </c>
      <c r="BE37" s="161">
        <f t="shared" si="22"/>
        <v>0</v>
      </c>
      <c r="BF37" s="160">
        <f t="shared" si="28"/>
        <v>4620045.0006302893</v>
      </c>
      <c r="BH37" s="159">
        <f>'Op Cost_FY2026'!E28</f>
        <v>12808994</v>
      </c>
      <c r="BI37" s="158">
        <f t="shared" si="23"/>
        <v>0.36068757629446069</v>
      </c>
      <c r="BJ37" s="157">
        <f t="shared" si="24"/>
        <v>3842698.1999999997</v>
      </c>
      <c r="BK37" s="156">
        <f t="shared" si="25"/>
        <v>777346.8006302896</v>
      </c>
      <c r="BM37" s="548">
        <f t="shared" si="29"/>
        <v>3.3657889346657042</v>
      </c>
      <c r="BN37" s="548">
        <f t="shared" si="30"/>
        <v>4.6107217229558444</v>
      </c>
      <c r="BO37" s="566">
        <f t="shared" si="31"/>
        <v>3.2404534449026126</v>
      </c>
      <c r="BP37" s="401">
        <f t="shared" si="26"/>
        <v>0</v>
      </c>
      <c r="BQ37" s="551">
        <f t="shared" si="32"/>
        <v>0.13872669154866721</v>
      </c>
      <c r="BR37" s="552">
        <f t="shared" si="33"/>
        <v>0</v>
      </c>
      <c r="BS37" s="553">
        <f t="shared" si="34"/>
        <v>0</v>
      </c>
      <c r="BT37" s="540">
        <f t="shared" si="35"/>
        <v>3842698.1999999997</v>
      </c>
      <c r="BU37" s="540">
        <f t="shared" si="36"/>
        <v>3842698.1999999997</v>
      </c>
      <c r="BV37" s="540">
        <f t="shared" si="37"/>
        <v>3842698.1999999997</v>
      </c>
      <c r="BW37" s="540">
        <f t="shared" si="41"/>
        <v>0</v>
      </c>
      <c r="BX37" s="541">
        <f t="shared" si="38"/>
        <v>0</v>
      </c>
      <c r="BY37" s="542">
        <f t="shared" si="39"/>
        <v>0</v>
      </c>
      <c r="BZ37" s="563">
        <f t="shared" si="40"/>
        <v>3842698.1999999997</v>
      </c>
      <c r="CC37" s="147"/>
    </row>
    <row r="38" spans="1:81">
      <c r="A38" s="181" t="s">
        <v>56</v>
      </c>
      <c r="B38" s="180" t="s">
        <v>87</v>
      </c>
      <c r="C38" s="144"/>
      <c r="D38" s="179">
        <f>'Sizing - Reim Expen_FY2026'!B29</f>
        <v>2846110</v>
      </c>
      <c r="E38" s="178">
        <f>'Ridership-FY2026'!$E29</f>
        <v>90833</v>
      </c>
      <c r="F38" s="178">
        <f>'Revenue Hours_FY2026'!$E29</f>
        <v>36673.339999999997</v>
      </c>
      <c r="G38" s="178">
        <f>'Revenue Miles_FY2026'!$E29</f>
        <v>438033</v>
      </c>
      <c r="H38" s="177">
        <f t="shared" si="0"/>
        <v>4.5207609440009351E-3</v>
      </c>
      <c r="I38" s="176">
        <f t="shared" si="1"/>
        <v>4.5207609440009351E-3</v>
      </c>
      <c r="J38" s="167"/>
      <c r="K38" s="175">
        <f>'Ridership-FY2026'!B29/'Revenue Hours_FY2026'!B29</f>
        <v>3.353975911522431</v>
      </c>
      <c r="L38" s="171">
        <f>'Ridership-FY2026'!C29/'Revenue Hours_FY2026'!C29</f>
        <v>4.039822296622992</v>
      </c>
      <c r="M38" s="171">
        <f>'Ridership-FY2026'!D29/'Revenue Hours_FY2026'!D29</f>
        <v>3.7461598379809939</v>
      </c>
      <c r="N38" s="171">
        <f>'Ridership-FY2026'!E29/'Revenue Hours_FY2026'!E29</f>
        <v>2.4768128564237677</v>
      </c>
      <c r="O38" s="174">
        <f t="shared" si="2"/>
        <v>0.77907852184148563</v>
      </c>
      <c r="P38" s="169">
        <f t="shared" si="3"/>
        <v>3.5220277538509678E-3</v>
      </c>
      <c r="Q38" s="173">
        <f t="shared" si="4"/>
        <v>3.4040164065906628E-3</v>
      </c>
      <c r="R38" s="172">
        <f>'Ridership-FY2026'!B29/'Revenue Miles_FY2026'!B29</f>
        <v>0.29134203947124609</v>
      </c>
      <c r="S38" s="171">
        <f>'Ridership-FY2026'!C29/'Revenue Miles_FY2026'!C29</f>
        <v>0.3358526722031458</v>
      </c>
      <c r="T38" s="171">
        <f>'Ridership-FY2026'!D29/'Revenue Miles_FY2026'!D29</f>
        <v>0.30962589842834592</v>
      </c>
      <c r="U38" s="171">
        <f>'Ridership-FY2026'!E29/'Revenue Miles_FY2026'!E29</f>
        <v>0.20736565509904506</v>
      </c>
      <c r="V38" s="174">
        <f t="shared" si="5"/>
        <v>0.77142009613882967</v>
      </c>
      <c r="W38" s="169">
        <f t="shared" si="6"/>
        <v>3.4874058420418679E-3</v>
      </c>
      <c r="X38" s="173">
        <f t="shared" si="7"/>
        <v>3.3752676090905466E-3</v>
      </c>
      <c r="Y38" s="172">
        <f>'Op Cost_FY2026'!B29/'Revenue Hours_FY2026'!B29</f>
        <v>54.975878704341831</v>
      </c>
      <c r="Z38" s="171">
        <f>'Op Cost_FY2026'!C29/'Revenue Hours_FY2026'!C29</f>
        <v>56.597366641985644</v>
      </c>
      <c r="AA38" s="171">
        <f>'Op Cost_FY2026'!D29/'Revenue Hours_FY2026'!D29</f>
        <v>81.316934101885025</v>
      </c>
      <c r="AB38" s="171">
        <f>'Op Cost_FY2026'!E29/'Revenue Hours_FY2026'!E29</f>
        <v>77.607057333747079</v>
      </c>
      <c r="AC38" s="174">
        <f t="shared" si="8"/>
        <v>1.084327821452679</v>
      </c>
      <c r="AD38" s="169">
        <f t="shared" si="9"/>
        <v>4.1691828380318145E-3</v>
      </c>
      <c r="AE38" s="173">
        <f t="shared" si="10"/>
        <v>4.1765918904645887E-3</v>
      </c>
      <c r="AF38" s="172">
        <f>'Op Cost_FY2026'!B29/'Revenue Miles_FY2026'!B29</f>
        <v>4.775462032515458</v>
      </c>
      <c r="AG38" s="171">
        <f>'Op Cost_FY2026'!C29/'Revenue Miles_FY2026'!C29</f>
        <v>4.7052507339893959</v>
      </c>
      <c r="AH38" s="171">
        <f>'Op Cost_FY2026'!D29/'Revenue Miles_FY2026'!D29</f>
        <v>6.7209702382331962</v>
      </c>
      <c r="AI38" s="171">
        <f>'Op Cost_FY2026'!E29/'Revenue Miles_FY2026'!E29</f>
        <v>6.4974785004782749</v>
      </c>
      <c r="AJ38" s="174">
        <f t="shared" si="11"/>
        <v>1.0755645694817073</v>
      </c>
      <c r="AK38" s="169">
        <f t="shared" si="12"/>
        <v>4.2031516026782081E-3</v>
      </c>
      <c r="AL38" s="173">
        <f t="shared" si="13"/>
        <v>4.2102503780349102E-3</v>
      </c>
      <c r="AM38" s="172">
        <f>'Op Cost_FY2026'!B29/'Ridership-FY2026'!B29</f>
        <v>16.391256274523233</v>
      </c>
      <c r="AN38" s="171">
        <f>'Op Cost_FY2026'!C29/'Ridership-FY2026'!C29</f>
        <v>14.009865406529656</v>
      </c>
      <c r="AO38" s="171">
        <f>'Op Cost_FY2026'!D29/'Ridership-FY2026'!D29</f>
        <v>21.706744404614373</v>
      </c>
      <c r="AP38" s="171">
        <f>'Op Cost_FY2026'!E29/'Ridership-FY2026'!E29</f>
        <v>31.333436086003985</v>
      </c>
      <c r="AQ38" s="170">
        <f t="shared" si="14"/>
        <v>1.4195954903170527</v>
      </c>
      <c r="AR38" s="169">
        <f t="shared" si="15"/>
        <v>3.184541635160638E-3</v>
      </c>
      <c r="AS38" s="168">
        <f t="shared" si="16"/>
        <v>3.2031456295927778E-3</v>
      </c>
      <c r="AT38" s="167"/>
      <c r="AU38" s="166">
        <f t="shared" si="17"/>
        <v>0</v>
      </c>
      <c r="AV38" s="165">
        <f t="shared" si="18"/>
        <v>0</v>
      </c>
      <c r="AW38" s="165">
        <f t="shared" si="19"/>
        <v>0</v>
      </c>
      <c r="AX38" s="165">
        <f t="shared" si="20"/>
        <v>0</v>
      </c>
      <c r="AY38" s="164">
        <f t="shared" si="21"/>
        <v>0</v>
      </c>
      <c r="AZ38" s="163">
        <f t="shared" si="27"/>
        <v>-1</v>
      </c>
      <c r="BA38" s="162">
        <f t="shared" si="22"/>
        <v>0</v>
      </c>
      <c r="BB38" s="161">
        <f t="shared" si="22"/>
        <v>0</v>
      </c>
      <c r="BC38" s="161">
        <f t="shared" si="22"/>
        <v>0</v>
      </c>
      <c r="BD38" s="161">
        <f t="shared" si="22"/>
        <v>0</v>
      </c>
      <c r="BE38" s="161">
        <f t="shared" si="22"/>
        <v>0</v>
      </c>
      <c r="BF38" s="160">
        <f t="shared" si="28"/>
        <v>544162.30203045707</v>
      </c>
      <c r="BH38" s="159">
        <f>'Op Cost_FY2026'!E29</f>
        <v>2846110</v>
      </c>
      <c r="BI38" s="158">
        <f t="shared" si="23"/>
        <v>0.19119510561097677</v>
      </c>
      <c r="BJ38" s="157">
        <f t="shared" si="24"/>
        <v>544162.30203045707</v>
      </c>
      <c r="BK38" s="156">
        <f t="shared" si="25"/>
        <v>0</v>
      </c>
      <c r="BM38" s="548">
        <f t="shared" si="29"/>
        <v>0.21840654943211602</v>
      </c>
      <c r="BN38" s="548">
        <f t="shared" si="30"/>
        <v>0.25782001367805307</v>
      </c>
      <c r="BO38" s="566">
        <f t="shared" si="31"/>
        <v>0.34938932268241701</v>
      </c>
      <c r="BP38" s="401">
        <f t="shared" si="26"/>
        <v>544162.30203045707</v>
      </c>
      <c r="BQ38" s="551">
        <f t="shared" si="32"/>
        <v>1.3279794138678677E-3</v>
      </c>
      <c r="BR38" s="552">
        <f t="shared" si="33"/>
        <v>1.3279794138678677E-3</v>
      </c>
      <c r="BS38" s="553">
        <f t="shared" si="34"/>
        <v>1.3963318775812466E-3</v>
      </c>
      <c r="BT38" s="540">
        <f t="shared" si="35"/>
        <v>554612.94499489304</v>
      </c>
      <c r="BU38" s="540">
        <f t="shared" si="36"/>
        <v>853833</v>
      </c>
      <c r="BV38" s="540">
        <f t="shared" si="37"/>
        <v>554612.94499489304</v>
      </c>
      <c r="BW38" s="540">
        <f t="shared" si="41"/>
        <v>0</v>
      </c>
      <c r="BX38" s="541">
        <f t="shared" si="38"/>
        <v>1.3279794138678677E-3</v>
      </c>
      <c r="BY38" s="542">
        <f t="shared" si="39"/>
        <v>1.5036323177354688E-3</v>
      </c>
      <c r="BZ38" s="563">
        <f t="shared" si="40"/>
        <v>555030.26484369556</v>
      </c>
      <c r="CC38" s="147"/>
    </row>
    <row r="39" spans="1:81">
      <c r="A39" s="181" t="s">
        <v>56</v>
      </c>
      <c r="B39" s="180" t="s">
        <v>88</v>
      </c>
      <c r="C39" s="144"/>
      <c r="D39" s="179">
        <f>'Sizing - Reim Expen_FY2026'!B30</f>
        <v>14257696</v>
      </c>
      <c r="E39" s="178">
        <f>'Ridership-FY2026'!$E30</f>
        <v>1396636</v>
      </c>
      <c r="F39" s="178">
        <f>'Revenue Hours_FY2026'!$E30</f>
        <v>143067</v>
      </c>
      <c r="G39" s="178">
        <f>'Revenue Miles_FY2026'!$E30</f>
        <v>2359994</v>
      </c>
      <c r="H39" s="177">
        <f t="shared" si="0"/>
        <v>2.792800926360255E-2</v>
      </c>
      <c r="I39" s="176">
        <f t="shared" si="1"/>
        <v>2.792800926360255E-2</v>
      </c>
      <c r="J39" s="167"/>
      <c r="K39" s="175">
        <f>'Ridership-FY2026'!B30/'Revenue Hours_FY2026'!B30</f>
        <v>7.5369057433360815</v>
      </c>
      <c r="L39" s="171">
        <f>'Ridership-FY2026'!C30/'Revenue Hours_FY2026'!C30</f>
        <v>7.2816302952503209</v>
      </c>
      <c r="M39" s="171">
        <f>'Ridership-FY2026'!D30/'Revenue Hours_FY2026'!D30</f>
        <v>9.0953319765962863</v>
      </c>
      <c r="N39" s="171">
        <f>'Ridership-FY2026'!E30/'Revenue Hours_FY2026'!E30</f>
        <v>9.762111458267805</v>
      </c>
      <c r="O39" s="174">
        <f t="shared" si="2"/>
        <v>0.93562893210464482</v>
      </c>
      <c r="P39" s="169">
        <f t="shared" si="3"/>
        <v>2.613025348311308E-2</v>
      </c>
      <c r="Q39" s="173">
        <f t="shared" si="4"/>
        <v>2.5254716254758253E-2</v>
      </c>
      <c r="R39" s="172">
        <f>'Ridership-FY2026'!B30/'Revenue Miles_FY2026'!B30</f>
        <v>0.4322966250764449</v>
      </c>
      <c r="S39" s="171">
        <f>'Ridership-FY2026'!C30/'Revenue Miles_FY2026'!C30</f>
        <v>0.43926607650153893</v>
      </c>
      <c r="T39" s="171">
        <f>'Ridership-FY2026'!D30/'Revenue Miles_FY2026'!D30</f>
        <v>0.56790094587284767</v>
      </c>
      <c r="U39" s="171">
        <f>'Ridership-FY2026'!E30/'Revenue Miles_FY2026'!E30</f>
        <v>0.59179641982140629</v>
      </c>
      <c r="V39" s="174">
        <f t="shared" si="5"/>
        <v>0.95458036924452949</v>
      </c>
      <c r="W39" s="169">
        <f t="shared" si="6"/>
        <v>2.6659529395114363E-2</v>
      </c>
      <c r="X39" s="173">
        <f t="shared" si="7"/>
        <v>2.5802286890774358E-2</v>
      </c>
      <c r="Y39" s="172">
        <f>'Op Cost_FY2026'!B30/'Revenue Hours_FY2026'!B30</f>
        <v>71.568899422918378</v>
      </c>
      <c r="Z39" s="171">
        <f>'Op Cost_FY2026'!C30/'Revenue Hours_FY2026'!C30</f>
        <v>68.191964056482675</v>
      </c>
      <c r="AA39" s="171">
        <f>'Op Cost_FY2026'!D30/'Revenue Hours_FY2026'!D30</f>
        <v>90.06116622855366</v>
      </c>
      <c r="AB39" s="171">
        <f>'Op Cost_FY2026'!E30/'Revenue Hours_FY2026'!E30</f>
        <v>100.1120523950317</v>
      </c>
      <c r="AC39" s="174">
        <f t="shared" si="8"/>
        <v>1.0742332216255097</v>
      </c>
      <c r="AD39" s="169">
        <f t="shared" si="9"/>
        <v>2.5998087474284594E-2</v>
      </c>
      <c r="AE39" s="173">
        <f t="shared" si="10"/>
        <v>2.6044288660639799E-2</v>
      </c>
      <c r="AF39" s="172">
        <f>'Op Cost_FY2026'!B30/'Revenue Miles_FY2026'!B30</f>
        <v>4.104999416812201</v>
      </c>
      <c r="AG39" s="171">
        <f>'Op Cost_FY2026'!C30/'Revenue Miles_FY2026'!C30</f>
        <v>4.1136964231161048</v>
      </c>
      <c r="AH39" s="171">
        <f>'Op Cost_FY2026'!D30/'Revenue Miles_FY2026'!D30</f>
        <v>5.6233045279945362</v>
      </c>
      <c r="AI39" s="171">
        <f>'Op Cost_FY2026'!E30/'Revenue Miles_FY2026'!E30</f>
        <v>6.0689692431421438</v>
      </c>
      <c r="AJ39" s="174">
        <f t="shared" si="11"/>
        <v>1.0986857066039803</v>
      </c>
      <c r="AK39" s="169">
        <f t="shared" si="12"/>
        <v>2.5419470823851504E-2</v>
      </c>
      <c r="AL39" s="173">
        <f t="shared" si="13"/>
        <v>2.5462402207280497E-2</v>
      </c>
      <c r="AM39" s="172">
        <f>'Op Cost_FY2026'!B30/'Ridership-FY2026'!B30</f>
        <v>9.4957933481120662</v>
      </c>
      <c r="AN39" s="171">
        <f>'Op Cost_FY2026'!C30/'Ridership-FY2026'!C30</f>
        <v>9.3649308316247648</v>
      </c>
      <c r="AO39" s="171">
        <f>'Op Cost_FY2026'!D30/'Ridership-FY2026'!D30</f>
        <v>9.9019108329740089</v>
      </c>
      <c r="AP39" s="171">
        <f>'Op Cost_FY2026'!E30/'Ridership-FY2026'!E30</f>
        <v>10.255163836532926</v>
      </c>
      <c r="AQ39" s="174">
        <f t="shared" si="14"/>
        <v>1.1567680100553506</v>
      </c>
      <c r="AR39" s="169">
        <f t="shared" si="15"/>
        <v>2.414313762209435E-2</v>
      </c>
      <c r="AS39" s="168">
        <f t="shared" si="16"/>
        <v>2.4284181090622643E-2</v>
      </c>
      <c r="AT39" s="167"/>
      <c r="AU39" s="166">
        <f t="shared" si="17"/>
        <v>0</v>
      </c>
      <c r="AV39" s="165">
        <f t="shared" si="18"/>
        <v>0</v>
      </c>
      <c r="AW39" s="165">
        <f t="shared" si="19"/>
        <v>0</v>
      </c>
      <c r="AX39" s="165">
        <f t="shared" si="20"/>
        <v>0</v>
      </c>
      <c r="AY39" s="164">
        <f t="shared" si="21"/>
        <v>0</v>
      </c>
      <c r="AZ39" s="163">
        <f t="shared" si="27"/>
        <v>-1</v>
      </c>
      <c r="BA39" s="162">
        <f t="shared" si="22"/>
        <v>0</v>
      </c>
      <c r="BB39" s="161">
        <f t="shared" si="22"/>
        <v>0</v>
      </c>
      <c r="BC39" s="161">
        <f t="shared" si="22"/>
        <v>0</v>
      </c>
      <c r="BD39" s="161">
        <f t="shared" si="22"/>
        <v>0</v>
      </c>
      <c r="BE39" s="161">
        <f t="shared" si="22"/>
        <v>0</v>
      </c>
      <c r="BF39" s="160">
        <f t="shared" si="28"/>
        <v>3361684.0174167701</v>
      </c>
      <c r="BH39" s="159">
        <f>'Op Cost_FY2026'!E30</f>
        <v>14322731</v>
      </c>
      <c r="BI39" s="158">
        <f t="shared" si="23"/>
        <v>0.23470970846389352</v>
      </c>
      <c r="BJ39" s="157">
        <f t="shared" si="24"/>
        <v>3361684.0174167701</v>
      </c>
      <c r="BK39" s="156">
        <f t="shared" si="25"/>
        <v>0</v>
      </c>
      <c r="BM39" s="548">
        <f t="shared" si="29"/>
        <v>0.86082768556463052</v>
      </c>
      <c r="BN39" s="548">
        <f t="shared" si="30"/>
        <v>0.73578703754053076</v>
      </c>
      <c r="BO39" s="566">
        <f t="shared" si="31"/>
        <v>1.0675176121908647</v>
      </c>
      <c r="BP39" s="401">
        <f t="shared" si="26"/>
        <v>3361684.0174167701</v>
      </c>
      <c r="BQ39" s="551">
        <f t="shared" si="32"/>
        <v>2.6054388575483964E-2</v>
      </c>
      <c r="BR39" s="552">
        <f t="shared" si="33"/>
        <v>2.6054388575483964E-2</v>
      </c>
      <c r="BS39" s="553">
        <f t="shared" si="34"/>
        <v>2.7395434702466498E-2</v>
      </c>
      <c r="BT39" s="540">
        <f t="shared" si="35"/>
        <v>3566721.1661975668</v>
      </c>
      <c r="BU39" s="540">
        <f t="shared" si="36"/>
        <v>4296819.3</v>
      </c>
      <c r="BV39" s="540">
        <f t="shared" si="37"/>
        <v>3566721.1661975668</v>
      </c>
      <c r="BW39" s="540">
        <f t="shared" si="41"/>
        <v>0</v>
      </c>
      <c r="BX39" s="541">
        <f t="shared" si="38"/>
        <v>2.6054388575483964E-2</v>
      </c>
      <c r="BY39" s="542">
        <f t="shared" si="39"/>
        <v>2.9500623482431074E-2</v>
      </c>
      <c r="BZ39" s="563">
        <f t="shared" si="40"/>
        <v>3574908.8032854749</v>
      </c>
      <c r="CC39" s="147"/>
    </row>
    <row r="40" spans="1:81">
      <c r="A40" s="181" t="s">
        <v>56</v>
      </c>
      <c r="B40" s="180" t="s">
        <v>89</v>
      </c>
      <c r="C40" s="144"/>
      <c r="D40" s="179">
        <f>'Sizing - Reim Expen_FY2026'!B31</f>
        <v>744369</v>
      </c>
      <c r="E40" s="178">
        <f>'Ridership-FY2026'!$E31</f>
        <v>28456</v>
      </c>
      <c r="F40" s="178">
        <f>'Revenue Hours_FY2026'!$E31</f>
        <v>18710.25</v>
      </c>
      <c r="G40" s="178">
        <f>'Revenue Miles_FY2026'!$E31</f>
        <v>231250</v>
      </c>
      <c r="H40" s="177">
        <f t="shared" si="0"/>
        <v>1.7706242603158051E-3</v>
      </c>
      <c r="I40" s="176">
        <f t="shared" si="1"/>
        <v>1.7706242603158051E-3</v>
      </c>
      <c r="J40" s="167"/>
      <c r="K40" s="175">
        <f>'Ridership-FY2026'!B31/'Revenue Hours_FY2026'!B31</f>
        <v>2.0660778541053322</v>
      </c>
      <c r="L40" s="171">
        <f>'Ridership-FY2026'!C31/'Revenue Hours_FY2026'!C31</f>
        <v>1.5442640125720273</v>
      </c>
      <c r="M40" s="171">
        <f>'Ridership-FY2026'!D31/'Revenue Hours_FY2026'!D31</f>
        <v>1.4436910689691704</v>
      </c>
      <c r="N40" s="171">
        <f>'Ridership-FY2026'!E31/'Revenue Hours_FY2026'!E31</f>
        <v>1.5208775938322576</v>
      </c>
      <c r="O40" s="174">
        <f t="shared" si="2"/>
        <v>0.78444065442179911</v>
      </c>
      <c r="P40" s="169">
        <f t="shared" si="3"/>
        <v>1.3889496534972442E-3</v>
      </c>
      <c r="Q40" s="173">
        <f t="shared" si="4"/>
        <v>1.3424106051587628E-3</v>
      </c>
      <c r="R40" s="172">
        <f>'Ridership-FY2026'!B31/'Revenue Miles_FY2026'!B31</f>
        <v>0.17929853281414856</v>
      </c>
      <c r="S40" s="171">
        <f>'Ridership-FY2026'!C31/'Revenue Miles_FY2026'!C31</f>
        <v>0.13392938268912755</v>
      </c>
      <c r="T40" s="171">
        <f>'Ridership-FY2026'!D31/'Revenue Miles_FY2026'!D31</f>
        <v>0.11958963737845332</v>
      </c>
      <c r="U40" s="171">
        <f>'Ridership-FY2026'!E31/'Revenue Miles_FY2026'!E31</f>
        <v>0.12305297297297298</v>
      </c>
      <c r="V40" s="174">
        <f t="shared" si="5"/>
        <v>0.76729798078618916</v>
      </c>
      <c r="W40" s="169">
        <f t="shared" si="6"/>
        <v>1.358596419671357E-3</v>
      </c>
      <c r="X40" s="173">
        <f t="shared" si="7"/>
        <v>1.3149104798362799E-3</v>
      </c>
      <c r="Y40" s="172">
        <f>'Op Cost_FY2026'!B31/'Revenue Hours_FY2026'!B31</f>
        <v>43.551303020390364</v>
      </c>
      <c r="Z40" s="171">
        <f>'Op Cost_FY2026'!C31/'Revenue Hours_FY2026'!C31</f>
        <v>41.282399161864852</v>
      </c>
      <c r="AA40" s="171">
        <f>'Op Cost_FY2026'!D31/'Revenue Hours_FY2026'!D31</f>
        <v>39.012660239432144</v>
      </c>
      <c r="AB40" s="171">
        <f>'Op Cost_FY2026'!E31/'Revenue Hours_FY2026'!E31</f>
        <v>39.784022126909051</v>
      </c>
      <c r="AC40" s="174">
        <f t="shared" si="8"/>
        <v>0.92869241192469454</v>
      </c>
      <c r="AD40" s="169">
        <f t="shared" si="9"/>
        <v>1.9065777189308842E-3</v>
      </c>
      <c r="AE40" s="173">
        <f t="shared" si="10"/>
        <v>1.9099658971028415E-3</v>
      </c>
      <c r="AF40" s="172">
        <f>'Op Cost_FY2026'!B31/'Revenue Miles_FY2026'!B31</f>
        <v>3.7794726458078038</v>
      </c>
      <c r="AG40" s="171">
        <f>'Op Cost_FY2026'!C31/'Revenue Miles_FY2026'!C31</f>
        <v>3.5802985698449907</v>
      </c>
      <c r="AH40" s="171">
        <f>'Op Cost_FY2026'!D31/'Revenue Miles_FY2026'!D31</f>
        <v>3.2316539123108785</v>
      </c>
      <c r="AI40" s="171">
        <f>'Op Cost_FY2026'!E31/'Revenue Miles_FY2026'!E31</f>
        <v>3.2188929729729732</v>
      </c>
      <c r="AJ40" s="174">
        <f t="shared" si="11"/>
        <v>0.91256401539541976</v>
      </c>
      <c r="AK40" s="169">
        <f t="shared" si="12"/>
        <v>1.9402740305824817E-3</v>
      </c>
      <c r="AL40" s="173">
        <f t="shared" si="13"/>
        <v>1.943550992913503E-3</v>
      </c>
      <c r="AM40" s="172">
        <f>'Op Cost_FY2026'!B31/'Ridership-FY2026'!B31</f>
        <v>21.079216803884314</v>
      </c>
      <c r="AN40" s="171">
        <f>'Op Cost_FY2026'!C31/'Ridership-FY2026'!C31</f>
        <v>26.732734056987788</v>
      </c>
      <c r="AO40" s="171">
        <f>'Op Cost_FY2026'!D31/'Ridership-FY2026'!D31</f>
        <v>27.022859029867174</v>
      </c>
      <c r="AP40" s="171">
        <f>'Op Cost_FY2026'!E31/'Ridership-FY2026'!E31</f>
        <v>26.158595726736014</v>
      </c>
      <c r="AQ40" s="170">
        <f t="shared" si="14"/>
        <v>1.2360109324116764</v>
      </c>
      <c r="AR40" s="169">
        <f t="shared" si="15"/>
        <v>1.4325312292028059E-3</v>
      </c>
      <c r="AS40" s="168">
        <f t="shared" si="16"/>
        <v>1.4409000326493374E-3</v>
      </c>
      <c r="AT40" s="167"/>
      <c r="AU40" s="166">
        <f t="shared" si="17"/>
        <v>0</v>
      </c>
      <c r="AV40" s="165">
        <f t="shared" si="18"/>
        <v>0</v>
      </c>
      <c r="AW40" s="165">
        <f t="shared" si="19"/>
        <v>0</v>
      </c>
      <c r="AX40" s="165">
        <f t="shared" si="20"/>
        <v>0</v>
      </c>
      <c r="AY40" s="164">
        <f t="shared" si="21"/>
        <v>0</v>
      </c>
      <c r="AZ40" s="163">
        <f t="shared" si="27"/>
        <v>-1</v>
      </c>
      <c r="BA40" s="162">
        <f t="shared" si="22"/>
        <v>0</v>
      </c>
      <c r="BB40" s="161">
        <f t="shared" si="22"/>
        <v>0</v>
      </c>
      <c r="BC40" s="161">
        <f t="shared" si="22"/>
        <v>0</v>
      </c>
      <c r="BD40" s="161">
        <f t="shared" si="22"/>
        <v>0</v>
      </c>
      <c r="BE40" s="161">
        <f t="shared" si="22"/>
        <v>0</v>
      </c>
      <c r="BF40" s="160">
        <f t="shared" si="28"/>
        <v>213129.37920395916</v>
      </c>
      <c r="BH40" s="159">
        <f>'Op Cost_FY2026'!E31</f>
        <v>744369</v>
      </c>
      <c r="BI40" s="158">
        <f t="shared" si="23"/>
        <v>0.2863222127788223</v>
      </c>
      <c r="BJ40" s="157">
        <f t="shared" si="24"/>
        <v>213129.37920395916</v>
      </c>
      <c r="BK40" s="156">
        <f t="shared" si="25"/>
        <v>0</v>
      </c>
      <c r="BM40" s="548">
        <f t="shared" si="29"/>
        <v>0.13411171801535998</v>
      </c>
      <c r="BN40" s="548">
        <f t="shared" si="30"/>
        <v>0.1529931229926372</v>
      </c>
      <c r="BO40" s="566">
        <f t="shared" si="31"/>
        <v>0.41850748127937604</v>
      </c>
      <c r="BP40" s="401">
        <f t="shared" si="26"/>
        <v>213129.37920395916</v>
      </c>
      <c r="BQ40" s="551">
        <f t="shared" si="32"/>
        <v>4.9759844892418084E-4</v>
      </c>
      <c r="BR40" s="552">
        <f t="shared" si="33"/>
        <v>4.9759844892418084E-4</v>
      </c>
      <c r="BS40" s="553">
        <f t="shared" si="34"/>
        <v>5.232103519166077E-4</v>
      </c>
      <c r="BT40" s="540">
        <f t="shared" si="35"/>
        <v>217045.27102807831</v>
      </c>
      <c r="BU40" s="540">
        <f t="shared" si="36"/>
        <v>223310.69999999998</v>
      </c>
      <c r="BV40" s="540">
        <f t="shared" si="37"/>
        <v>217045.27102807831</v>
      </c>
      <c r="BW40" s="540">
        <f t="shared" si="41"/>
        <v>0</v>
      </c>
      <c r="BX40" s="541">
        <f t="shared" si="38"/>
        <v>4.9759844892418084E-4</v>
      </c>
      <c r="BY40" s="542">
        <f t="shared" si="39"/>
        <v>5.6341619549524571E-4</v>
      </c>
      <c r="BZ40" s="563">
        <f t="shared" si="40"/>
        <v>217201.64220921326</v>
      </c>
      <c r="CC40" s="147"/>
    </row>
    <row r="41" spans="1:81">
      <c r="A41" s="181" t="s">
        <v>57</v>
      </c>
      <c r="B41" s="180" t="s">
        <v>90</v>
      </c>
      <c r="C41" s="144"/>
      <c r="D41" s="179">
        <f>'Sizing - Reim Expen_FY2026'!B32</f>
        <v>2428469</v>
      </c>
      <c r="E41" s="178">
        <f>'Ridership-FY2026'!$E32</f>
        <v>212642</v>
      </c>
      <c r="F41" s="178">
        <f>'Revenue Hours_FY2026'!$E32</f>
        <v>36534.629999999997</v>
      </c>
      <c r="G41" s="178">
        <f>'Revenue Miles_FY2026'!$E32</f>
        <v>705618.94</v>
      </c>
      <c r="H41" s="177">
        <f t="shared" si="0"/>
        <v>5.6702484862446237E-3</v>
      </c>
      <c r="I41" s="176">
        <f t="shared" si="1"/>
        <v>5.6702484862446237E-3</v>
      </c>
      <c r="J41" s="167"/>
      <c r="K41" s="175">
        <f>'Ridership-FY2026'!B32/'Revenue Hours_FY2026'!B32</f>
        <v>4.4820247253569612</v>
      </c>
      <c r="L41" s="171">
        <f>'Ridership-FY2026'!C32/'Revenue Hours_FY2026'!C32</f>
        <v>4.4056907707718551</v>
      </c>
      <c r="M41" s="171">
        <f>'Ridership-FY2026'!D32/'Revenue Hours_FY2026'!D32</f>
        <v>5.2133876816389186</v>
      </c>
      <c r="N41" s="171">
        <f>'Ridership-FY2026'!E32/'Revenue Hours_FY2026'!E32</f>
        <v>5.8202861230563991</v>
      </c>
      <c r="O41" s="174">
        <f t="shared" si="2"/>
        <v>0.93497400249378815</v>
      </c>
      <c r="P41" s="169">
        <f t="shared" si="3"/>
        <v>5.3015349223184795E-3</v>
      </c>
      <c r="Q41" s="173">
        <f t="shared" si="4"/>
        <v>5.123898253201864E-3</v>
      </c>
      <c r="R41" s="172">
        <f>'Ridership-FY2026'!B32/'Revenue Miles_FY2026'!B32</f>
        <v>0.24753017027607868</v>
      </c>
      <c r="S41" s="171">
        <f>'Ridership-FY2026'!C32/'Revenue Miles_FY2026'!C32</f>
        <v>0.22914428374898088</v>
      </c>
      <c r="T41" s="171">
        <f>'Ridership-FY2026'!D32/'Revenue Miles_FY2026'!D32</f>
        <v>0.26595741807949275</v>
      </c>
      <c r="U41" s="171">
        <f>'Ridership-FY2026'!E32/'Revenue Miles_FY2026'!E32</f>
        <v>0.30135528958448876</v>
      </c>
      <c r="V41" s="174">
        <f t="shared" si="5"/>
        <v>0.92190780884659318</v>
      </c>
      <c r="W41" s="169">
        <f t="shared" si="6"/>
        <v>5.2274463575694933E-3</v>
      </c>
      <c r="X41" s="173">
        <f t="shared" si="7"/>
        <v>5.0593567735242803E-3</v>
      </c>
      <c r="Y41" s="172">
        <f>'Op Cost_FY2026'!B32/'Revenue Hours_FY2026'!B32</f>
        <v>68.510851019247468</v>
      </c>
      <c r="Z41" s="171">
        <f>'Op Cost_FY2026'!C32/'Revenue Hours_FY2026'!C32</f>
        <v>68.297046322116032</v>
      </c>
      <c r="AA41" s="171">
        <f>'Op Cost_FY2026'!D32/'Revenue Hours_FY2026'!D32</f>
        <v>80.659776077922771</v>
      </c>
      <c r="AB41" s="171">
        <f>'Op Cost_FY2026'!E32/'Revenue Hours_FY2026'!E32</f>
        <v>92.151528563447897</v>
      </c>
      <c r="AC41" s="174">
        <f t="shared" si="8"/>
        <v>1.0561797921469089</v>
      </c>
      <c r="AD41" s="169">
        <f t="shared" si="9"/>
        <v>5.3686394384791659E-3</v>
      </c>
      <c r="AE41" s="173">
        <f t="shared" si="10"/>
        <v>5.3781800445493787E-3</v>
      </c>
      <c r="AF41" s="172">
        <f>'Op Cost_FY2026'!B32/'Revenue Miles_FY2026'!B32</f>
        <v>3.7836700281038187</v>
      </c>
      <c r="AG41" s="171">
        <f>'Op Cost_FY2026'!C32/'Revenue Miles_FY2026'!C32</f>
        <v>3.5521961426517614</v>
      </c>
      <c r="AH41" s="171">
        <f>'Op Cost_FY2026'!D32/'Revenue Miles_FY2026'!D32</f>
        <v>4.1148034826005002</v>
      </c>
      <c r="AI41" s="171">
        <f>'Op Cost_FY2026'!E32/'Revenue Miles_FY2026'!E32</f>
        <v>4.7713033326458048</v>
      </c>
      <c r="AJ41" s="174">
        <f t="shared" si="11"/>
        <v>1.0398241904816219</v>
      </c>
      <c r="AK41" s="169">
        <f t="shared" si="12"/>
        <v>5.4530838368150479E-3</v>
      </c>
      <c r="AL41" s="173">
        <f t="shared" si="13"/>
        <v>5.4622936443161976E-3</v>
      </c>
      <c r="AM41" s="172">
        <f>'Op Cost_FY2026'!B32/'Ridership-FY2026'!B32</f>
        <v>15.285692341599267</v>
      </c>
      <c r="AN41" s="171">
        <f>'Op Cost_FY2026'!C32/'Ridership-FY2026'!C32</f>
        <v>15.502006353966314</v>
      </c>
      <c r="AO41" s="171">
        <f>'Op Cost_FY2026'!D32/'Ridership-FY2026'!D32</f>
        <v>15.471662765844025</v>
      </c>
      <c r="AP41" s="171">
        <f>'Op Cost_FY2026'!E32/'Ridership-FY2026'!E32</f>
        <v>15.832817599533488</v>
      </c>
      <c r="AQ41" s="170">
        <f t="shared" si="14"/>
        <v>1.1428923483074012</v>
      </c>
      <c r="AR41" s="169">
        <f t="shared" si="15"/>
        <v>4.9613145933141813E-3</v>
      </c>
      <c r="AS41" s="168">
        <f t="shared" si="16"/>
        <v>4.9902984408013735E-3</v>
      </c>
      <c r="AT41" s="167"/>
      <c r="AU41" s="166">
        <f t="shared" si="17"/>
        <v>0</v>
      </c>
      <c r="AV41" s="165">
        <f t="shared" si="18"/>
        <v>0</v>
      </c>
      <c r="AW41" s="165">
        <f t="shared" si="19"/>
        <v>0</v>
      </c>
      <c r="AX41" s="165">
        <f t="shared" si="20"/>
        <v>0</v>
      </c>
      <c r="AY41" s="164">
        <f t="shared" si="21"/>
        <v>0</v>
      </c>
      <c r="AZ41" s="163">
        <f t="shared" si="27"/>
        <v>-1</v>
      </c>
      <c r="BA41" s="162">
        <f t="shared" si="22"/>
        <v>0</v>
      </c>
      <c r="BB41" s="161">
        <f t="shared" si="22"/>
        <v>0</v>
      </c>
      <c r="BC41" s="161">
        <f t="shared" si="22"/>
        <v>0</v>
      </c>
      <c r="BD41" s="161">
        <f t="shared" si="22"/>
        <v>0</v>
      </c>
      <c r="BE41" s="161">
        <f t="shared" si="22"/>
        <v>0</v>
      </c>
      <c r="BF41" s="160">
        <f t="shared" si="28"/>
        <v>682525.68706471962</v>
      </c>
      <c r="BH41" s="159">
        <f>'Op Cost_FY2026'!E32</f>
        <v>3366722</v>
      </c>
      <c r="BI41" s="158">
        <f t="shared" si="23"/>
        <v>0.20272707014856575</v>
      </c>
      <c r="BJ41" s="157">
        <f t="shared" si="24"/>
        <v>682525.68706471962</v>
      </c>
      <c r="BK41" s="156">
        <f t="shared" si="25"/>
        <v>0</v>
      </c>
      <c r="BM41" s="548">
        <f t="shared" si="29"/>
        <v>0.5132356308420597</v>
      </c>
      <c r="BN41" s="548">
        <f t="shared" si="30"/>
        <v>0.37467836631633383</v>
      </c>
      <c r="BO41" s="566">
        <f t="shared" si="31"/>
        <v>0.69144787038564159</v>
      </c>
      <c r="BP41" s="401">
        <f t="shared" si="26"/>
        <v>682525.68706471962</v>
      </c>
      <c r="BQ41" s="551">
        <f t="shared" si="32"/>
        <v>3.2190138697613252E-3</v>
      </c>
      <c r="BR41" s="552">
        <f t="shared" si="33"/>
        <v>3.2190138697613252E-3</v>
      </c>
      <c r="BS41" s="553">
        <f t="shared" si="34"/>
        <v>3.3846998182240902E-3</v>
      </c>
      <c r="BT41" s="540">
        <f t="shared" si="35"/>
        <v>707857.98084814579</v>
      </c>
      <c r="BU41" s="540">
        <f t="shared" si="36"/>
        <v>1010016.6</v>
      </c>
      <c r="BV41" s="540">
        <f t="shared" si="37"/>
        <v>707857.98084814579</v>
      </c>
      <c r="BW41" s="540">
        <f t="shared" si="41"/>
        <v>0</v>
      </c>
      <c r="BX41" s="541">
        <f t="shared" si="38"/>
        <v>3.2190138697613252E-3</v>
      </c>
      <c r="BY41" s="542">
        <f t="shared" si="39"/>
        <v>3.6447954202198478E-3</v>
      </c>
      <c r="BZ41" s="563">
        <f t="shared" si="40"/>
        <v>708869.56157552265</v>
      </c>
      <c r="CC41" s="147"/>
    </row>
    <row r="42" spans="1:81">
      <c r="A42" s="181" t="s">
        <v>57</v>
      </c>
      <c r="B42" s="180" t="s">
        <v>91</v>
      </c>
      <c r="C42" s="144"/>
      <c r="D42" s="179">
        <f>'Sizing - Reim Expen_FY2026'!B33</f>
        <v>7144704</v>
      </c>
      <c r="E42" s="178">
        <f>'Ridership-FY2026'!$E33</f>
        <v>1877126</v>
      </c>
      <c r="F42" s="178">
        <f>'Revenue Hours_FY2026'!$E33</f>
        <v>76614</v>
      </c>
      <c r="G42" s="178">
        <f>'Revenue Miles_FY2026'!$E33</f>
        <v>768657</v>
      </c>
      <c r="H42" s="177">
        <f t="shared" si="0"/>
        <v>2.0972505324955166E-2</v>
      </c>
      <c r="I42" s="176">
        <f t="shared" si="1"/>
        <v>2.0972505324955166E-2</v>
      </c>
      <c r="J42" s="167"/>
      <c r="K42" s="175">
        <f>'Ridership-FY2026'!B33/'Revenue Hours_FY2026'!B33</f>
        <v>6.5232631919715116</v>
      </c>
      <c r="L42" s="171">
        <f>'Ridership-FY2026'!C33/'Revenue Hours_FY2026'!C33</f>
        <v>18.24961092626382</v>
      </c>
      <c r="M42" s="171">
        <f>'Ridership-FY2026'!D33/'Revenue Hours_FY2026'!D33</f>
        <v>21.145138445302301</v>
      </c>
      <c r="N42" s="171">
        <f>'Ridership-FY2026'!E33/'Revenue Hours_FY2026'!E33</f>
        <v>24.501083352912001</v>
      </c>
      <c r="O42" s="174">
        <f t="shared" si="2"/>
        <v>1.4130477342171865</v>
      </c>
      <c r="P42" s="169">
        <f t="shared" si="3"/>
        <v>2.9635151130285777E-2</v>
      </c>
      <c r="Q42" s="173">
        <f t="shared" si="4"/>
        <v>2.8642176527140229E-2</v>
      </c>
      <c r="R42" s="172">
        <f>'Ridership-FY2026'!B33/'Revenue Miles_FY2026'!B33</f>
        <v>0.66929775146545356</v>
      </c>
      <c r="S42" s="171">
        <f>'Ridership-FY2026'!C33/'Revenue Miles_FY2026'!C33</f>
        <v>1.8049204125068334</v>
      </c>
      <c r="T42" s="171">
        <f>'Ridership-FY2026'!D33/'Revenue Miles_FY2026'!D33</f>
        <v>2.1042721223804488</v>
      </c>
      <c r="U42" s="171">
        <f>'Ridership-FY2026'!E33/'Revenue Miles_FY2026'!E33</f>
        <v>2.4420853514636569</v>
      </c>
      <c r="V42" s="174">
        <f t="shared" si="5"/>
        <v>1.4013283640407588</v>
      </c>
      <c r="W42" s="169">
        <f t="shared" si="6"/>
        <v>2.9389366576855525E-2</v>
      </c>
      <c r="X42" s="173">
        <f t="shared" si="7"/>
        <v>2.8444345611484432E-2</v>
      </c>
      <c r="Y42" s="172">
        <f>'Op Cost_FY2026'!B33/'Revenue Hours_FY2026'!B33</f>
        <v>76.682473292327614</v>
      </c>
      <c r="Z42" s="171">
        <f>'Op Cost_FY2026'!C33/'Revenue Hours_FY2026'!C33</f>
        <v>79.970349898035849</v>
      </c>
      <c r="AA42" s="171">
        <f>'Op Cost_FY2026'!D33/'Revenue Hours_FY2026'!D33</f>
        <v>91.352487016413477</v>
      </c>
      <c r="AB42" s="171">
        <f>'Op Cost_FY2026'!E33/'Revenue Hours_FY2026'!E33</f>
        <v>97.052784086459397</v>
      </c>
      <c r="AC42" s="174">
        <f t="shared" si="8"/>
        <v>1.0338380562910368</v>
      </c>
      <c r="AD42" s="169">
        <f t="shared" si="9"/>
        <v>2.0286064337963563E-2</v>
      </c>
      <c r="AE42" s="173">
        <f t="shared" si="10"/>
        <v>2.0322114691275858E-2</v>
      </c>
      <c r="AF42" s="172">
        <f>'Op Cost_FY2026'!B33/'Revenue Miles_FY2026'!B33</f>
        <v>7.8677504557122129</v>
      </c>
      <c r="AG42" s="171">
        <f>'Op Cost_FY2026'!C33/'Revenue Miles_FY2026'!C33</f>
        <v>7.9092161202490328</v>
      </c>
      <c r="AH42" s="171">
        <f>'Op Cost_FY2026'!D33/'Revenue Miles_FY2026'!D33</f>
        <v>9.0910018033704372</v>
      </c>
      <c r="AI42" s="171">
        <f>'Op Cost_FY2026'!E33/'Revenue Miles_FY2026'!E33</f>
        <v>9.6734980622045992</v>
      </c>
      <c r="AJ42" s="174">
        <f t="shared" si="11"/>
        <v>1.0288308715377539</v>
      </c>
      <c r="AK42" s="169">
        <f t="shared" si="12"/>
        <v>2.0384793949279893E-2</v>
      </c>
      <c r="AL42" s="173">
        <f t="shared" si="13"/>
        <v>2.0419222179954798E-2</v>
      </c>
      <c r="AM42" s="172">
        <f>'Op Cost_FY2026'!B33/'Ridership-FY2026'!B33</f>
        <v>11.755232164586637</v>
      </c>
      <c r="AN42" s="171">
        <f>'Op Cost_FY2026'!C33/'Ridership-FY2026'!C33</f>
        <v>4.3820304016973317</v>
      </c>
      <c r="AO42" s="171">
        <f>'Op Cost_FY2026'!D33/'Ridership-FY2026'!D33</f>
        <v>4.3202595836731801</v>
      </c>
      <c r="AP42" s="171">
        <f>'Op Cost_FY2026'!E33/'Ridership-FY2026'!E33</f>
        <v>3.9611629693478223</v>
      </c>
      <c r="AQ42" s="170">
        <f t="shared" si="14"/>
        <v>0.83032174110192136</v>
      </c>
      <c r="AR42" s="169">
        <f t="shared" si="15"/>
        <v>2.525828758515045E-2</v>
      </c>
      <c r="AS42" s="168">
        <f t="shared" si="16"/>
        <v>2.5405845725515543E-2</v>
      </c>
      <c r="AT42" s="167"/>
      <c r="AU42" s="166">
        <f t="shared" si="17"/>
        <v>0</v>
      </c>
      <c r="AV42" s="165">
        <f t="shared" si="18"/>
        <v>0</v>
      </c>
      <c r="AW42" s="165">
        <f t="shared" si="19"/>
        <v>0</v>
      </c>
      <c r="AX42" s="165">
        <f t="shared" si="20"/>
        <v>0</v>
      </c>
      <c r="AY42" s="164">
        <f t="shared" si="21"/>
        <v>0</v>
      </c>
      <c r="AZ42" s="163">
        <f t="shared" si="27"/>
        <v>-1</v>
      </c>
      <c r="BA42" s="162">
        <f t="shared" si="22"/>
        <v>0</v>
      </c>
      <c r="BB42" s="161">
        <f t="shared" si="22"/>
        <v>0</v>
      </c>
      <c r="BC42" s="161">
        <f t="shared" si="22"/>
        <v>0</v>
      </c>
      <c r="BD42" s="161">
        <f t="shared" si="22"/>
        <v>0</v>
      </c>
      <c r="BE42" s="161">
        <f t="shared" si="22"/>
        <v>0</v>
      </c>
      <c r="BF42" s="160">
        <f t="shared" si="28"/>
        <v>2524452.6128102345</v>
      </c>
      <c r="BH42" s="159">
        <f>'Op Cost_FY2026'!E33</f>
        <v>7435602</v>
      </c>
      <c r="BI42" s="158">
        <f t="shared" si="23"/>
        <v>0.33950884041537382</v>
      </c>
      <c r="BJ42" s="157">
        <f t="shared" si="24"/>
        <v>2230680.6</v>
      </c>
      <c r="BK42" s="156">
        <f t="shared" si="25"/>
        <v>293772.01281023445</v>
      </c>
      <c r="BM42" s="548">
        <f t="shared" si="29"/>
        <v>2.1605173190939753</v>
      </c>
      <c r="BN42" s="548">
        <f t="shared" si="30"/>
        <v>3.0362717414154496</v>
      </c>
      <c r="BO42" s="566">
        <f t="shared" si="31"/>
        <v>2.7637257280540966</v>
      </c>
      <c r="BP42" s="401">
        <f t="shared" si="26"/>
        <v>0</v>
      </c>
      <c r="BQ42" s="551">
        <f t="shared" si="32"/>
        <v>5.6228547835215734E-2</v>
      </c>
      <c r="BR42" s="552">
        <f t="shared" si="33"/>
        <v>0</v>
      </c>
      <c r="BS42" s="553">
        <f t="shared" si="34"/>
        <v>0</v>
      </c>
      <c r="BT42" s="540">
        <f t="shared" si="35"/>
        <v>2230680.6</v>
      </c>
      <c r="BU42" s="540">
        <f t="shared" si="36"/>
        <v>2230680.6</v>
      </c>
      <c r="BV42" s="540">
        <f t="shared" si="37"/>
        <v>2230680.6</v>
      </c>
      <c r="BW42" s="540">
        <f t="shared" si="41"/>
        <v>0</v>
      </c>
      <c r="BX42" s="541">
        <f t="shared" si="38"/>
        <v>0</v>
      </c>
      <c r="BY42" s="542">
        <f t="shared" si="39"/>
        <v>0</v>
      </c>
      <c r="BZ42" s="563">
        <f t="shared" si="40"/>
        <v>2230680.6</v>
      </c>
      <c r="CC42" s="147"/>
    </row>
    <row r="43" spans="1:81">
      <c r="A43" s="181" t="s">
        <v>57</v>
      </c>
      <c r="B43" s="180" t="s">
        <v>93</v>
      </c>
      <c r="C43" s="144"/>
      <c r="D43" s="179">
        <f>'Sizing - Reim Expen_FY2026'!B34</f>
        <v>2376491</v>
      </c>
      <c r="E43" s="178">
        <f>'Ridership-FY2026'!$E34</f>
        <v>181306</v>
      </c>
      <c r="F43" s="178">
        <f>'Revenue Hours_FY2026'!$E34</f>
        <v>25268</v>
      </c>
      <c r="G43" s="178">
        <f>'Revenue Miles_FY2026'!$E34</f>
        <v>331246</v>
      </c>
      <c r="H43" s="182">
        <f t="shared" si="0"/>
        <v>4.2200607362598746E-3</v>
      </c>
      <c r="I43" s="176">
        <f t="shared" si="1"/>
        <v>4.2200607362598746E-3</v>
      </c>
      <c r="J43" s="167"/>
      <c r="K43" s="175">
        <f>'Ridership-FY2026'!B34/'Revenue Hours_FY2026'!B34</f>
        <v>5.1692512721104915</v>
      </c>
      <c r="L43" s="171">
        <f>'Ridership-FY2026'!C34/'Revenue Hours_FY2026'!C34</f>
        <v>7.7540727902946278</v>
      </c>
      <c r="M43" s="171">
        <f>'Ridership-FY2026'!D34/'Revenue Hours_FY2026'!D34</f>
        <v>8.9334289529650324</v>
      </c>
      <c r="N43" s="171">
        <f>'Ridership-FY2026'!E34/'Revenue Hours_FY2026'!E34</f>
        <v>7.1753205635586514</v>
      </c>
      <c r="O43" s="174">
        <f t="shared" si="2"/>
        <v>0.9631888761247418</v>
      </c>
      <c r="P43" s="169">
        <f t="shared" si="3"/>
        <v>4.064715557736299E-3</v>
      </c>
      <c r="Q43" s="173">
        <f t="shared" si="4"/>
        <v>3.9285205607849259E-3</v>
      </c>
      <c r="R43" s="172">
        <f>'Ridership-FY2026'!B34/'Revenue Miles_FY2026'!B34</f>
        <v>0.48672727894958989</v>
      </c>
      <c r="S43" s="171">
        <f>'Ridership-FY2026'!C34/'Revenue Miles_FY2026'!C34</f>
        <v>0.72460145651246777</v>
      </c>
      <c r="T43" s="171">
        <f>'Ridership-FY2026'!D34/'Revenue Miles_FY2026'!D34</f>
        <v>0.79643813026090104</v>
      </c>
      <c r="U43" s="171">
        <f>'Ridership-FY2026'!E34/'Revenue Miles_FY2026'!E34</f>
        <v>0.54734547737934947</v>
      </c>
      <c r="V43" s="174">
        <f t="shared" si="5"/>
        <v>0.91548196708866847</v>
      </c>
      <c r="W43" s="169">
        <f t="shared" si="6"/>
        <v>3.8633895040648446E-3</v>
      </c>
      <c r="X43" s="173">
        <f t="shared" si="7"/>
        <v>3.7391614411976747E-3</v>
      </c>
      <c r="Y43" s="172">
        <f>'Op Cost_FY2026'!B34/'Revenue Hours_FY2026'!B34</f>
        <v>76.918100314998782</v>
      </c>
      <c r="Z43" s="171">
        <f>'Op Cost_FY2026'!C34/'Revenue Hours_FY2026'!C34</f>
        <v>82.248006932409012</v>
      </c>
      <c r="AA43" s="171">
        <f>'Op Cost_FY2026'!D34/'Revenue Hours_FY2026'!D34</f>
        <v>95.121865571986746</v>
      </c>
      <c r="AB43" s="171">
        <f>'Op Cost_FY2026'!E34/'Revenue Hours_FY2026'!E34</f>
        <v>94.216123159727715</v>
      </c>
      <c r="AC43" s="174">
        <f t="shared" si="8"/>
        <v>1.0237533675916397</v>
      </c>
      <c r="AD43" s="169">
        <f t="shared" si="9"/>
        <v>4.1221458896760332E-3</v>
      </c>
      <c r="AE43" s="173">
        <f t="shared" si="10"/>
        <v>4.1294713527748337E-3</v>
      </c>
      <c r="AF43" s="172">
        <f>'Op Cost_FY2026'!B34/'Revenue Miles_FY2026'!B34</f>
        <v>7.2424681443287211</v>
      </c>
      <c r="AG43" s="171">
        <f>'Op Cost_FY2026'!C34/'Revenue Miles_FY2026'!C34</f>
        <v>7.6858996852680619</v>
      </c>
      <c r="AH43" s="171">
        <f>'Op Cost_FY2026'!D34/'Revenue Miles_FY2026'!D34</f>
        <v>8.480358568020776</v>
      </c>
      <c r="AI43" s="171">
        <f>'Op Cost_FY2026'!E34/'Revenue Miles_FY2026'!E34</f>
        <v>7.1869637671096402</v>
      </c>
      <c r="AJ43" s="174">
        <f t="shared" si="11"/>
        <v>0.96417599187899372</v>
      </c>
      <c r="AK43" s="169">
        <f t="shared" si="12"/>
        <v>4.3768573080063804E-3</v>
      </c>
      <c r="AL43" s="173">
        <f t="shared" si="13"/>
        <v>4.384249457929805E-3</v>
      </c>
      <c r="AM43" s="172">
        <f>'Op Cost_FY2026'!B34/'Ridership-FY2026'!B34</f>
        <v>14.879930625541988</v>
      </c>
      <c r="AN43" s="171">
        <f>'Op Cost_FY2026'!C34/'Ridership-FY2026'!C34</f>
        <v>10.607071813325586</v>
      </c>
      <c r="AO43" s="171">
        <f>'Op Cost_FY2026'!D34/'Ridership-FY2026'!D34</f>
        <v>10.647856055363322</v>
      </c>
      <c r="AP43" s="171">
        <f>'Op Cost_FY2026'!E34/'Ridership-FY2026'!E34</f>
        <v>13.13058034483139</v>
      </c>
      <c r="AQ43" s="170">
        <f t="shared" si="14"/>
        <v>1.0897265159750711</v>
      </c>
      <c r="AR43" s="169">
        <f t="shared" si="15"/>
        <v>3.8725869971915172E-3</v>
      </c>
      <c r="AS43" s="168">
        <f t="shared" si="16"/>
        <v>3.8952105314980778E-3</v>
      </c>
      <c r="AT43" s="167"/>
      <c r="AU43" s="166">
        <f t="shared" si="17"/>
        <v>0</v>
      </c>
      <c r="AV43" s="165">
        <f t="shared" si="18"/>
        <v>0</v>
      </c>
      <c r="AW43" s="165">
        <f t="shared" si="19"/>
        <v>0</v>
      </c>
      <c r="AX43" s="165">
        <f t="shared" si="20"/>
        <v>0</v>
      </c>
      <c r="AY43" s="164">
        <f t="shared" si="21"/>
        <v>0</v>
      </c>
      <c r="AZ43" s="163">
        <f t="shared" si="27"/>
        <v>-1</v>
      </c>
      <c r="BA43" s="162">
        <f t="shared" si="22"/>
        <v>0</v>
      </c>
      <c r="BB43" s="161">
        <f t="shared" si="22"/>
        <v>0</v>
      </c>
      <c r="BC43" s="161">
        <f t="shared" si="22"/>
        <v>0</v>
      </c>
      <c r="BD43" s="161">
        <f t="shared" si="22"/>
        <v>0</v>
      </c>
      <c r="BE43" s="161">
        <f t="shared" si="22"/>
        <v>0</v>
      </c>
      <c r="BF43" s="160">
        <f t="shared" si="28"/>
        <v>507967.13062185841</v>
      </c>
      <c r="BH43" s="159">
        <f>'Op Cost_FY2026'!E34</f>
        <v>2380653</v>
      </c>
      <c r="BI43" s="158">
        <f t="shared" si="23"/>
        <v>0.21337302438526673</v>
      </c>
      <c r="BJ43" s="157">
        <f t="shared" si="24"/>
        <v>507967.13062185841</v>
      </c>
      <c r="BK43" s="156">
        <f t="shared" si="25"/>
        <v>0</v>
      </c>
      <c r="BM43" s="548">
        <f t="shared" si="29"/>
        <v>0.63272321979905921</v>
      </c>
      <c r="BN43" s="548">
        <f t="shared" si="30"/>
        <v>0.68052068891139261</v>
      </c>
      <c r="BO43" s="566">
        <f t="shared" si="31"/>
        <v>0.83374593688168896</v>
      </c>
      <c r="BP43" s="401">
        <f t="shared" si="26"/>
        <v>507967.13062185841</v>
      </c>
      <c r="BQ43" s="551">
        <f t="shared" si="32"/>
        <v>3.1447215101956657E-3</v>
      </c>
      <c r="BR43" s="552">
        <f t="shared" si="33"/>
        <v>3.1447215101956657E-3</v>
      </c>
      <c r="BS43" s="553">
        <f t="shared" si="34"/>
        <v>3.3065835546442842E-3</v>
      </c>
      <c r="BT43" s="540">
        <f t="shared" si="35"/>
        <v>532714.7745856425</v>
      </c>
      <c r="BU43" s="540">
        <f t="shared" si="36"/>
        <v>714195.9</v>
      </c>
      <c r="BV43" s="540">
        <f t="shared" si="37"/>
        <v>532714.7745856425</v>
      </c>
      <c r="BW43" s="540">
        <f t="shared" si="41"/>
        <v>0</v>
      </c>
      <c r="BX43" s="541">
        <f t="shared" si="38"/>
        <v>3.1447215101956657E-3</v>
      </c>
      <c r="BY43" s="542">
        <f t="shared" si="39"/>
        <v>3.5606763505737393E-3</v>
      </c>
      <c r="BZ43" s="563">
        <f t="shared" si="40"/>
        <v>533703.00880934822</v>
      </c>
      <c r="CC43" s="147"/>
    </row>
    <row r="44" spans="1:81">
      <c r="A44" s="181" t="s">
        <v>58</v>
      </c>
      <c r="B44" s="180" t="s">
        <v>94</v>
      </c>
      <c r="C44" s="144"/>
      <c r="D44" s="179">
        <f>'Sizing - Reim Expen_FY2026'!B35</f>
        <v>5173162</v>
      </c>
      <c r="E44" s="178">
        <f>'Ridership-FY2026'!$E35</f>
        <v>131277</v>
      </c>
      <c r="F44" s="178">
        <f>'Revenue Hours_FY2026'!$E35</f>
        <v>61710.71</v>
      </c>
      <c r="G44" s="178">
        <f>'Revenue Miles_FY2026'!$E35</f>
        <v>1392527</v>
      </c>
      <c r="H44" s="177">
        <f t="shared" si="0"/>
        <v>9.1906277955202675E-3</v>
      </c>
      <c r="I44" s="176">
        <f t="shared" si="1"/>
        <v>9.1906277955202675E-3</v>
      </c>
      <c r="J44" s="167"/>
      <c r="K44" s="175">
        <f>'Ridership-FY2026'!B35/'Revenue Hours_FY2026'!B35</f>
        <v>1.944317205840252</v>
      </c>
      <c r="L44" s="171">
        <f>'Ridership-FY2026'!C35/'Revenue Hours_FY2026'!C35</f>
        <v>2.0984220777077214</v>
      </c>
      <c r="M44" s="171">
        <f>'Ridership-FY2026'!D35/'Revenue Hours_FY2026'!D35</f>
        <v>2.1059981833517161</v>
      </c>
      <c r="N44" s="171">
        <f>'Ridership-FY2026'!E35/'Revenue Hours_FY2026'!E35</f>
        <v>2.1272968662976006</v>
      </c>
      <c r="O44" s="174">
        <f t="shared" si="2"/>
        <v>0.87651228790853652</v>
      </c>
      <c r="P44" s="169">
        <f t="shared" si="3"/>
        <v>8.0556981963672593E-3</v>
      </c>
      <c r="Q44" s="173">
        <f t="shared" si="4"/>
        <v>7.7857787454951709E-3</v>
      </c>
      <c r="R44" s="172">
        <f>'Ridership-FY2026'!B35/'Revenue Miles_FY2026'!B35</f>
        <v>8.4847547858705061E-2</v>
      </c>
      <c r="S44" s="171">
        <f>'Ridership-FY2026'!C35/'Revenue Miles_FY2026'!C35</f>
        <v>9.06701755136681E-2</v>
      </c>
      <c r="T44" s="171">
        <f>'Ridership-FY2026'!D35/'Revenue Miles_FY2026'!D35</f>
        <v>9.3205239748349655E-2</v>
      </c>
      <c r="U44" s="171">
        <f>'Ridership-FY2026'!E35/'Revenue Miles_FY2026'!E35</f>
        <v>9.4272498845623817E-2</v>
      </c>
      <c r="V44" s="174">
        <f t="shared" si="5"/>
        <v>0.8848941187265198</v>
      </c>
      <c r="W44" s="169">
        <f t="shared" si="6"/>
        <v>8.1327324836603654E-3</v>
      </c>
      <c r="X44" s="173">
        <f t="shared" si="7"/>
        <v>7.871222842657552E-3</v>
      </c>
      <c r="Y44" s="172">
        <f>'Op Cost_FY2026'!B35/'Revenue Hours_FY2026'!B35</f>
        <v>69.859111079301456</v>
      </c>
      <c r="Z44" s="171">
        <f>'Op Cost_FY2026'!C35/'Revenue Hours_FY2026'!C35</f>
        <v>76.546396857359781</v>
      </c>
      <c r="AA44" s="171">
        <f>'Op Cost_FY2026'!D35/'Revenue Hours_FY2026'!D35</f>
        <v>81.113410757153048</v>
      </c>
      <c r="AB44" s="171">
        <f>'Op Cost_FY2026'!E35/'Revenue Hours_FY2026'!E35</f>
        <v>94.049687647411616</v>
      </c>
      <c r="AC44" s="174">
        <f t="shared" si="8"/>
        <v>1.0573411582619359</v>
      </c>
      <c r="AD44" s="169">
        <f t="shared" si="9"/>
        <v>8.6922066011578328E-3</v>
      </c>
      <c r="AE44" s="173">
        <f t="shared" si="10"/>
        <v>8.7076535165286368E-3</v>
      </c>
      <c r="AF44" s="172">
        <f>'Op Cost_FY2026'!B35/'Revenue Miles_FY2026'!B35</f>
        <v>3.0485633994613872</v>
      </c>
      <c r="AG44" s="171">
        <f>'Op Cost_FY2026'!C35/'Revenue Miles_FY2026'!C35</f>
        <v>3.3074734162048824</v>
      </c>
      <c r="AH44" s="171">
        <f>'Op Cost_FY2026'!D35/'Revenue Miles_FY2026'!D35</f>
        <v>3.5898392297730726</v>
      </c>
      <c r="AI44" s="171">
        <f>'Op Cost_FY2026'!E35/'Revenue Miles_FY2026'!E35</f>
        <v>4.1678710717996852</v>
      </c>
      <c r="AJ44" s="174">
        <f t="shared" si="11"/>
        <v>1.0673150531526312</v>
      </c>
      <c r="AK44" s="169">
        <f t="shared" si="12"/>
        <v>8.6109792683735E-3</v>
      </c>
      <c r="AL44" s="173">
        <f t="shared" si="13"/>
        <v>8.6255225000257812E-3</v>
      </c>
      <c r="AM44" s="172">
        <f>'Op Cost_FY2026'!B35/'Ridership-FY2026'!B35</f>
        <v>35.929893985128473</v>
      </c>
      <c r="AN44" s="171">
        <f>'Op Cost_FY2026'!C35/'Ridership-FY2026'!C35</f>
        <v>36.47807448774924</v>
      </c>
      <c r="AO44" s="171">
        <f>'Op Cost_FY2026'!D35/'Ridership-FY2026'!D35</f>
        <v>38.515422946880371</v>
      </c>
      <c r="AP44" s="171">
        <f>'Op Cost_FY2026'!E35/'Ridership-FY2026'!E35</f>
        <v>44.210889950257851</v>
      </c>
      <c r="AQ44" s="170">
        <f t="shared" si="14"/>
        <v>1.2071736239215365</v>
      </c>
      <c r="AR44" s="169">
        <f t="shared" si="15"/>
        <v>7.61334377540843E-3</v>
      </c>
      <c r="AS44" s="168">
        <f t="shared" si="16"/>
        <v>7.6578206959309397E-3</v>
      </c>
      <c r="AT44" s="167"/>
      <c r="AU44" s="166">
        <f t="shared" si="17"/>
        <v>0</v>
      </c>
      <c r="AV44" s="165">
        <f t="shared" si="18"/>
        <v>0</v>
      </c>
      <c r="AW44" s="165">
        <f t="shared" si="19"/>
        <v>0</v>
      </c>
      <c r="AX44" s="165">
        <f t="shared" si="20"/>
        <v>0</v>
      </c>
      <c r="AY44" s="164">
        <f t="shared" si="21"/>
        <v>0</v>
      </c>
      <c r="AZ44" s="163">
        <f t="shared" si="27"/>
        <v>-1</v>
      </c>
      <c r="BA44" s="162">
        <f t="shared" si="22"/>
        <v>0</v>
      </c>
      <c r="BB44" s="161">
        <f t="shared" si="22"/>
        <v>0</v>
      </c>
      <c r="BC44" s="161">
        <f t="shared" si="22"/>
        <v>0</v>
      </c>
      <c r="BD44" s="161">
        <f t="shared" si="22"/>
        <v>0</v>
      </c>
      <c r="BE44" s="161">
        <f t="shared" si="22"/>
        <v>0</v>
      </c>
      <c r="BF44" s="160">
        <f t="shared" si="28"/>
        <v>1106272.4263161966</v>
      </c>
      <c r="BH44" s="159">
        <f>'Op Cost_FY2026'!E35</f>
        <v>5803873</v>
      </c>
      <c r="BI44" s="158">
        <f t="shared" si="23"/>
        <v>0.19060934419416078</v>
      </c>
      <c r="BJ44" s="157">
        <f t="shared" si="24"/>
        <v>1106272.4263161966</v>
      </c>
      <c r="BK44" s="156">
        <f t="shared" si="25"/>
        <v>0</v>
      </c>
      <c r="BM44" s="548">
        <f t="shared" si="29"/>
        <v>0.18758606124835114</v>
      </c>
      <c r="BN44" s="548">
        <f t="shared" si="30"/>
        <v>0.11721004102744931</v>
      </c>
      <c r="BO44" s="566">
        <f t="shared" si="31"/>
        <v>0.24762152545942784</v>
      </c>
      <c r="BP44" s="401">
        <f t="shared" si="26"/>
        <v>1106272.4263161966</v>
      </c>
      <c r="BQ44" s="551">
        <f t="shared" si="32"/>
        <v>1.838215519713826E-3</v>
      </c>
      <c r="BR44" s="552">
        <f t="shared" si="33"/>
        <v>1.838215519713826E-3</v>
      </c>
      <c r="BS44" s="553">
        <f t="shared" si="34"/>
        <v>1.9328303595950041E-3</v>
      </c>
      <c r="BT44" s="540">
        <f t="shared" si="35"/>
        <v>1120738.4141828772</v>
      </c>
      <c r="BU44" s="540">
        <f t="shared" si="36"/>
        <v>1741161.9</v>
      </c>
      <c r="BV44" s="540">
        <f t="shared" si="37"/>
        <v>1120738.4141828772</v>
      </c>
      <c r="BW44" s="540">
        <f t="shared" si="41"/>
        <v>0</v>
      </c>
      <c r="BX44" s="541">
        <f t="shared" si="38"/>
        <v>1.838215519713826E-3</v>
      </c>
      <c r="BY44" s="542">
        <f t="shared" si="39"/>
        <v>2.0813577631856456E-3</v>
      </c>
      <c r="BZ44" s="563">
        <f t="shared" si="40"/>
        <v>1121316.0766185613</v>
      </c>
      <c r="CC44" s="147"/>
    </row>
    <row r="45" spans="1:81">
      <c r="A45" s="181" t="s">
        <v>58</v>
      </c>
      <c r="B45" s="180" t="s">
        <v>95</v>
      </c>
      <c r="C45" s="144"/>
      <c r="D45" s="179">
        <f>'Sizing - Reim Expen_FY2026'!B36</f>
        <v>604843</v>
      </c>
      <c r="E45" s="178">
        <f>'Ridership-FY2026'!$E36</f>
        <v>28882</v>
      </c>
      <c r="F45" s="178">
        <f>'Revenue Hours_FY2026'!$E36</f>
        <v>15534</v>
      </c>
      <c r="G45" s="178">
        <f>'Revenue Miles_FY2026'!$E36</f>
        <v>413556</v>
      </c>
      <c r="H45" s="177">
        <f t="shared" si="0"/>
        <v>2.000041928521097E-3</v>
      </c>
      <c r="I45" s="176">
        <f t="shared" si="1"/>
        <v>2.000041928521097E-3</v>
      </c>
      <c r="J45" s="167"/>
      <c r="K45" s="175">
        <f>'Ridership-FY2026'!B36/'Revenue Hours_FY2026'!B36</f>
        <v>1.3983089137029627</v>
      </c>
      <c r="L45" s="171">
        <f>'Ridership-FY2026'!C36/'Revenue Hours_FY2026'!C36</f>
        <v>1.5445728965960179</v>
      </c>
      <c r="M45" s="171">
        <f>'Ridership-FY2026'!D36/'Revenue Hours_FY2026'!D36</f>
        <v>1.8291929463251384</v>
      </c>
      <c r="N45" s="171">
        <f>'Ridership-FY2026'!E36/'Revenue Hours_FY2026'!E36</f>
        <v>1.8592764259044676</v>
      </c>
      <c r="O45" s="174">
        <f t="shared" si="2"/>
        <v>0.93575618620058609</v>
      </c>
      <c r="P45" s="169">
        <f t="shared" si="3"/>
        <v>1.8715516072741669E-3</v>
      </c>
      <c r="Q45" s="173">
        <f t="shared" si="4"/>
        <v>1.8088421847262833E-3</v>
      </c>
      <c r="R45" s="172">
        <f>'Ridership-FY2026'!B36/'Revenue Miles_FY2026'!B36</f>
        <v>5.2832581392513109E-2</v>
      </c>
      <c r="S45" s="171">
        <f>'Ridership-FY2026'!C36/'Revenue Miles_FY2026'!C36</f>
        <v>5.8014121779238044E-2</v>
      </c>
      <c r="T45" s="171">
        <f>'Ridership-FY2026'!D36/'Revenue Miles_FY2026'!D36</f>
        <v>6.7953110393320887E-2</v>
      </c>
      <c r="U45" s="171">
        <f>'Ridership-FY2026'!E36/'Revenue Miles_FY2026'!E36</f>
        <v>6.9838183946067764E-2</v>
      </c>
      <c r="V45" s="174">
        <f t="shared" si="5"/>
        <v>0.93786015683866342</v>
      </c>
      <c r="W45" s="169">
        <f t="shared" si="6"/>
        <v>1.8757596367666989E-3</v>
      </c>
      <c r="X45" s="173">
        <f t="shared" si="7"/>
        <v>1.8154442101614393E-3</v>
      </c>
      <c r="Y45" s="172">
        <f>'Op Cost_FY2026'!B36/'Revenue Hours_FY2026'!B36</f>
        <v>37.360937197444009</v>
      </c>
      <c r="Z45" s="171">
        <f>'Op Cost_FY2026'!C36/'Revenue Hours_FY2026'!C36</f>
        <v>36.826011560693644</v>
      </c>
      <c r="AA45" s="171">
        <f>'Op Cost_FY2026'!D36/'Revenue Hours_FY2026'!D36</f>
        <v>46.109795340455655</v>
      </c>
      <c r="AB45" s="171">
        <f>'Op Cost_FY2026'!E36/'Revenue Hours_FY2026'!E36</f>
        <v>38.936719454100682</v>
      </c>
      <c r="AC45" s="174">
        <f t="shared" si="8"/>
        <v>0.97827769072150195</v>
      </c>
      <c r="AD45" s="169">
        <f t="shared" si="9"/>
        <v>2.0444521504380019E-3</v>
      </c>
      <c r="AE45" s="173">
        <f t="shared" si="10"/>
        <v>2.0480853451831965E-3</v>
      </c>
      <c r="AF45" s="172">
        <f>'Op Cost_FY2026'!B36/'Revenue Miles_FY2026'!B36</f>
        <v>1.4116156566272406</v>
      </c>
      <c r="AG45" s="171">
        <f>'Op Cost_FY2026'!C36/'Revenue Miles_FY2026'!C36</f>
        <v>1.3831841307289821</v>
      </c>
      <c r="AH45" s="171">
        <f>'Op Cost_FY2026'!D36/'Revenue Miles_FY2026'!D36</f>
        <v>1.712943415443541</v>
      </c>
      <c r="AI45" s="171">
        <f>'Op Cost_FY2026'!E36/'Revenue Miles_FY2026'!E36</f>
        <v>1.4625419532058537</v>
      </c>
      <c r="AJ45" s="174">
        <f t="shared" si="11"/>
        <v>0.97981392718326255</v>
      </c>
      <c r="AK45" s="169">
        <f t="shared" si="12"/>
        <v>2.0412466826949002E-3</v>
      </c>
      <c r="AL45" s="173">
        <f t="shared" si="13"/>
        <v>2.0446941794825088E-3</v>
      </c>
      <c r="AM45" s="172">
        <f>'Op Cost_FY2026'!B36/'Ridership-FY2026'!B36</f>
        <v>26.718657680945348</v>
      </c>
      <c r="AN45" s="171">
        <f>'Op Cost_FY2026'!C36/'Ridership-FY2026'!C36</f>
        <v>23.842197180755957</v>
      </c>
      <c r="AO45" s="171">
        <f>'Op Cost_FY2026'!D36/'Ridership-FY2026'!D36</f>
        <v>25.207726409119697</v>
      </c>
      <c r="AP45" s="171">
        <f>'Op Cost_FY2026'!E36/'Ridership-FY2026'!E36</f>
        <v>20.941866906723909</v>
      </c>
      <c r="AQ45" s="170">
        <f t="shared" si="14"/>
        <v>1.0464177737850957</v>
      </c>
      <c r="AR45" s="169">
        <f t="shared" si="15"/>
        <v>1.9113225889565676E-3</v>
      </c>
      <c r="AS45" s="168">
        <f t="shared" si="16"/>
        <v>1.9224884768226174E-3</v>
      </c>
      <c r="AT45" s="167"/>
      <c r="AU45" s="166">
        <f t="shared" si="17"/>
        <v>0</v>
      </c>
      <c r="AV45" s="165">
        <f t="shared" si="18"/>
        <v>0</v>
      </c>
      <c r="AW45" s="165">
        <f t="shared" si="19"/>
        <v>0</v>
      </c>
      <c r="AX45" s="165">
        <f t="shared" si="20"/>
        <v>0</v>
      </c>
      <c r="AY45" s="164">
        <f t="shared" si="21"/>
        <v>0</v>
      </c>
      <c r="AZ45" s="163">
        <f t="shared" si="27"/>
        <v>-1</v>
      </c>
      <c r="BA45" s="162">
        <f t="shared" si="22"/>
        <v>0</v>
      </c>
      <c r="BB45" s="161">
        <f t="shared" si="22"/>
        <v>0</v>
      </c>
      <c r="BC45" s="161">
        <f t="shared" si="22"/>
        <v>0</v>
      </c>
      <c r="BD45" s="161">
        <f t="shared" si="22"/>
        <v>0</v>
      </c>
      <c r="BE45" s="161">
        <f t="shared" si="22"/>
        <v>0</v>
      </c>
      <c r="BF45" s="160">
        <f t="shared" si="28"/>
        <v>240744.2980203843</v>
      </c>
      <c r="BH45" s="159">
        <f>'Op Cost_FY2026'!E36</f>
        <v>604843</v>
      </c>
      <c r="BI45" s="158">
        <f t="shared" si="23"/>
        <v>0.39802774938353308</v>
      </c>
      <c r="BJ45" s="157">
        <f t="shared" si="24"/>
        <v>181452.9</v>
      </c>
      <c r="BK45" s="156">
        <f t="shared" si="25"/>
        <v>59291.398020384309</v>
      </c>
      <c r="BM45" s="548">
        <f t="shared" si="29"/>
        <v>0.163951889852753</v>
      </c>
      <c r="BN45" s="548">
        <f t="shared" si="30"/>
        <v>8.6830586924461703E-2</v>
      </c>
      <c r="BO45" s="566">
        <f t="shared" si="31"/>
        <v>0.52275988860796108</v>
      </c>
      <c r="BP45" s="401">
        <f t="shared" si="26"/>
        <v>0</v>
      </c>
      <c r="BQ45" s="551">
        <f t="shared" si="32"/>
        <v>6.4816471500566959E-4</v>
      </c>
      <c r="BR45" s="552">
        <f t="shared" si="33"/>
        <v>0</v>
      </c>
      <c r="BS45" s="553">
        <f t="shared" si="34"/>
        <v>0</v>
      </c>
      <c r="BT45" s="540">
        <f t="shared" si="35"/>
        <v>181452.9</v>
      </c>
      <c r="BU45" s="540">
        <f t="shared" si="36"/>
        <v>181452.9</v>
      </c>
      <c r="BV45" s="540">
        <f t="shared" si="37"/>
        <v>181452.9</v>
      </c>
      <c r="BW45" s="540">
        <f t="shared" si="41"/>
        <v>0</v>
      </c>
      <c r="BX45" s="541">
        <f t="shared" si="38"/>
        <v>0</v>
      </c>
      <c r="BY45" s="542">
        <f t="shared" si="39"/>
        <v>0</v>
      </c>
      <c r="BZ45" s="563">
        <f t="shared" si="40"/>
        <v>181452.9</v>
      </c>
      <c r="CC45" s="147"/>
    </row>
    <row r="46" spans="1:81">
      <c r="A46" s="181" t="s">
        <v>58</v>
      </c>
      <c r="B46" s="180" t="s">
        <v>96</v>
      </c>
      <c r="C46" s="144"/>
      <c r="D46" s="179">
        <f>'Sizing - Reim Expen_FY2026'!B37</f>
        <v>4844103</v>
      </c>
      <c r="E46" s="178">
        <f>'Ridership-FY2026'!$E37</f>
        <v>125848</v>
      </c>
      <c r="F46" s="178">
        <f>'Revenue Hours_FY2026'!$E37</f>
        <v>46101.396664300002</v>
      </c>
      <c r="G46" s="178">
        <f>'Revenue Miles_FY2026'!$E37</f>
        <v>906466.02099999995</v>
      </c>
      <c r="H46" s="177">
        <f t="shared" si="0"/>
        <v>7.3477645101618127E-3</v>
      </c>
      <c r="I46" s="176">
        <f t="shared" si="1"/>
        <v>7.3477645101618127E-3</v>
      </c>
      <c r="J46" s="167"/>
      <c r="K46" s="175">
        <f>'Ridership-FY2026'!B37/'Revenue Hours_FY2026'!B37</f>
        <v>2.0644874296866029</v>
      </c>
      <c r="L46" s="171">
        <f>'Ridership-FY2026'!C37/'Revenue Hours_FY2026'!C37</f>
        <v>2.271031556749429</v>
      </c>
      <c r="M46" s="171">
        <f>'Ridership-FY2026'!D37/'Revenue Hours_FY2026'!D37</f>
        <v>2.6724711742855303</v>
      </c>
      <c r="N46" s="171">
        <f>'Ridership-FY2026'!E37/'Revenue Hours_FY2026'!E37</f>
        <v>2.7298088367343145</v>
      </c>
      <c r="O46" s="174">
        <f t="shared" si="2"/>
        <v>0.93402485678415115</v>
      </c>
      <c r="P46" s="169">
        <f t="shared" si="3"/>
        <v>6.8629946942875553E-3</v>
      </c>
      <c r="Q46" s="173">
        <f t="shared" si="4"/>
        <v>6.6330387408662208E-3</v>
      </c>
      <c r="R46" s="172">
        <f>'Ridership-FY2026'!B37/'Revenue Miles_FY2026'!B37</f>
        <v>9.9364322496519109E-2</v>
      </c>
      <c r="S46" s="171">
        <f>'Ridership-FY2026'!C37/'Revenue Miles_FY2026'!C37</f>
        <v>0.11118198611423494</v>
      </c>
      <c r="T46" s="171">
        <f>'Ridership-FY2026'!D37/'Revenue Miles_FY2026'!D37</f>
        <v>0.13217419191779745</v>
      </c>
      <c r="U46" s="171">
        <f>'Ridership-FY2026'!E37/'Revenue Miles_FY2026'!E37</f>
        <v>0.13883366511760292</v>
      </c>
      <c r="V46" s="174">
        <f t="shared" si="5"/>
        <v>0.95531263932332255</v>
      </c>
      <c r="W46" s="169">
        <f t="shared" si="6"/>
        <v>7.0194123073289219E-3</v>
      </c>
      <c r="X46" s="173">
        <f t="shared" si="7"/>
        <v>6.793701699457786E-3</v>
      </c>
      <c r="Y46" s="172">
        <f>'Op Cost_FY2026'!B37/'Revenue Hours_FY2026'!B37</f>
        <v>134.38379634944323</v>
      </c>
      <c r="Z46" s="171">
        <f>'Op Cost_FY2026'!C37/'Revenue Hours_FY2026'!C37</f>
        <v>98.371300178244169</v>
      </c>
      <c r="AA46" s="171">
        <f>'Op Cost_FY2026'!D37/'Revenue Hours_FY2026'!D37</f>
        <v>93.44738367723788</v>
      </c>
      <c r="AB46" s="171">
        <f>'Op Cost_FY2026'!E37/'Revenue Hours_FY2026'!E37</f>
        <v>108.95381405851531</v>
      </c>
      <c r="AC46" s="174">
        <f t="shared" si="8"/>
        <v>0.90591383740562093</v>
      </c>
      <c r="AD46" s="169">
        <f t="shared" si="9"/>
        <v>8.1108867165607355E-3</v>
      </c>
      <c r="AE46" s="173">
        <f t="shared" si="10"/>
        <v>8.1253005686976829E-3</v>
      </c>
      <c r="AF46" s="172">
        <f>'Op Cost_FY2026'!B37/'Revenue Miles_FY2026'!B37</f>
        <v>6.4679274316529272</v>
      </c>
      <c r="AG46" s="171">
        <f>'Op Cost_FY2026'!C37/'Revenue Miles_FY2026'!C37</f>
        <v>4.8159245070602568</v>
      </c>
      <c r="AH46" s="171">
        <f>'Op Cost_FY2026'!D37/'Revenue Miles_FY2026'!D37</f>
        <v>4.6216896717972462</v>
      </c>
      <c r="AI46" s="171">
        <f>'Op Cost_FY2026'!E37/'Revenue Miles_FY2026'!E37</f>
        <v>5.5412148758304092</v>
      </c>
      <c r="AJ46" s="174">
        <f t="shared" si="11"/>
        <v>0.92676229872522475</v>
      </c>
      <c r="AK46" s="169">
        <f t="shared" si="12"/>
        <v>7.9284240632886884E-3</v>
      </c>
      <c r="AL46" s="173">
        <f t="shared" si="13"/>
        <v>7.941814515663068E-3</v>
      </c>
      <c r="AM46" s="172">
        <f>'Op Cost_FY2026'!B37/'Ridership-FY2026'!B37</f>
        <v>65.093056231319935</v>
      </c>
      <c r="AN46" s="171">
        <f>'Op Cost_FY2026'!C37/'Ridership-FY2026'!C37</f>
        <v>43.315690566204594</v>
      </c>
      <c r="AO46" s="171">
        <f>'Op Cost_FY2026'!D37/'Ridership-FY2026'!D37</f>
        <v>34.966657293214958</v>
      </c>
      <c r="AP46" s="171">
        <f>'Op Cost_FY2026'!E37/'Ridership-FY2026'!E37</f>
        <v>39.912616807577393</v>
      </c>
      <c r="AQ46" s="170">
        <f t="shared" si="14"/>
        <v>0.96694396142407157</v>
      </c>
      <c r="AR46" s="169">
        <f t="shared" si="15"/>
        <v>7.5989558891710286E-3</v>
      </c>
      <c r="AS46" s="168">
        <f t="shared" si="16"/>
        <v>7.6433487561040061E-3</v>
      </c>
      <c r="AT46" s="167"/>
      <c r="AU46" s="166">
        <f t="shared" si="17"/>
        <v>0</v>
      </c>
      <c r="AV46" s="165">
        <f t="shared" si="18"/>
        <v>0</v>
      </c>
      <c r="AW46" s="165">
        <f t="shared" si="19"/>
        <v>0</v>
      </c>
      <c r="AX46" s="165">
        <f t="shared" si="20"/>
        <v>0</v>
      </c>
      <c r="AY46" s="164">
        <f t="shared" si="21"/>
        <v>0</v>
      </c>
      <c r="AZ46" s="163">
        <f t="shared" si="27"/>
        <v>-1</v>
      </c>
      <c r="BA46" s="162">
        <f t="shared" si="22"/>
        <v>0</v>
      </c>
      <c r="BB46" s="161">
        <f t="shared" si="22"/>
        <v>0</v>
      </c>
      <c r="BC46" s="161">
        <f t="shared" si="22"/>
        <v>0</v>
      </c>
      <c r="BD46" s="161">
        <f t="shared" si="22"/>
        <v>0</v>
      </c>
      <c r="BE46" s="161">
        <f t="shared" si="22"/>
        <v>0</v>
      </c>
      <c r="BF46" s="160">
        <f t="shared" si="28"/>
        <v>884447.66271775658</v>
      </c>
      <c r="BH46" s="159">
        <f>'Op Cost_FY2026'!E37</f>
        <v>5022923</v>
      </c>
      <c r="BI46" s="158">
        <f t="shared" si="23"/>
        <v>0.17608226578782046</v>
      </c>
      <c r="BJ46" s="157">
        <f t="shared" si="24"/>
        <v>884447.66271775658</v>
      </c>
      <c r="BK46" s="156">
        <f t="shared" si="25"/>
        <v>0</v>
      </c>
      <c r="BM46" s="548">
        <f t="shared" si="29"/>
        <v>0.24071585670840551</v>
      </c>
      <c r="BN46" s="548">
        <f t="shared" si="30"/>
        <v>0.17261343216405878</v>
      </c>
      <c r="BO46" s="566">
        <f t="shared" si="31"/>
        <v>0.27428840519730957</v>
      </c>
      <c r="BP46" s="401">
        <f t="shared" si="26"/>
        <v>884447.66271775658</v>
      </c>
      <c r="BQ46" s="551">
        <f t="shared" si="32"/>
        <v>1.7669648745757152E-3</v>
      </c>
      <c r="BR46" s="552">
        <f t="shared" si="33"/>
        <v>1.7669648745757152E-3</v>
      </c>
      <c r="BS46" s="553">
        <f t="shared" si="34"/>
        <v>1.8579123706069065E-3</v>
      </c>
      <c r="BT46" s="540">
        <f t="shared" si="35"/>
        <v>898352.93778606982</v>
      </c>
      <c r="BU46" s="540">
        <f t="shared" si="36"/>
        <v>1506876.9</v>
      </c>
      <c r="BV46" s="540">
        <f t="shared" si="37"/>
        <v>898352.93778606982</v>
      </c>
      <c r="BW46" s="540">
        <f t="shared" si="41"/>
        <v>0</v>
      </c>
      <c r="BX46" s="541">
        <f t="shared" si="38"/>
        <v>1.7669648745757152E-3</v>
      </c>
      <c r="BY46" s="542">
        <f t="shared" si="39"/>
        <v>2.0006827379778942E-3</v>
      </c>
      <c r="BZ46" s="563">
        <f t="shared" si="40"/>
        <v>898908.20958215103</v>
      </c>
      <c r="CC46" s="147"/>
    </row>
    <row r="47" spans="1:81" ht="16.5" customHeight="1">
      <c r="A47" s="181" t="s">
        <v>58</v>
      </c>
      <c r="B47" s="180" t="s">
        <v>97</v>
      </c>
      <c r="C47" s="144"/>
      <c r="D47" s="179">
        <f>'Sizing - Reim Expen_FY2026'!B38</f>
        <v>457239</v>
      </c>
      <c r="E47" s="178">
        <f>'Ridership-FY2026'!$E38</f>
        <v>12090</v>
      </c>
      <c r="F47" s="178">
        <f>'Revenue Hours_FY2026'!$E38</f>
        <v>5064</v>
      </c>
      <c r="G47" s="178">
        <f>'Revenue Miles_FY2026'!$E38</f>
        <v>59926</v>
      </c>
      <c r="H47" s="182">
        <f t="shared" si="0"/>
        <v>6.5952695118819875E-4</v>
      </c>
      <c r="I47" s="176">
        <f t="shared" si="1"/>
        <v>6.5952695118819875E-4</v>
      </c>
      <c r="J47" s="167"/>
      <c r="K47" s="175">
        <f>'Ridership-FY2026'!B38/'Revenue Hours_FY2026'!B38</f>
        <v>2.06749490079733</v>
      </c>
      <c r="L47" s="171">
        <f>'Ridership-FY2026'!C38/'Revenue Hours_FY2026'!C38</f>
        <v>2.1966604823747682</v>
      </c>
      <c r="M47" s="171">
        <f>'Ridership-FY2026'!D38/'Revenue Hours_FY2026'!D38</f>
        <v>2.1937241638481773</v>
      </c>
      <c r="N47" s="171">
        <f>'Ridership-FY2026'!E38/'Revenue Hours_FY2026'!E38</f>
        <v>2.3874407582938391</v>
      </c>
      <c r="O47" s="174">
        <f t="shared" si="2"/>
        <v>0.89509204736198367</v>
      </c>
      <c r="P47" s="169">
        <f t="shared" si="3"/>
        <v>5.9033732902945193E-4</v>
      </c>
      <c r="Q47" s="173">
        <f t="shared" si="4"/>
        <v>5.7055710343053591E-4</v>
      </c>
      <c r="R47" s="172">
        <f>'Ridership-FY2026'!B38/'Revenue Miles_FY2026'!B38</f>
        <v>0.21433239783168659</v>
      </c>
      <c r="S47" s="171">
        <f>'Ridership-FY2026'!C38/'Revenue Miles_FY2026'!C38</f>
        <v>0.21260549470281917</v>
      </c>
      <c r="T47" s="171">
        <f>'Ridership-FY2026'!D38/'Revenue Miles_FY2026'!D38</f>
        <v>0.19288275041715541</v>
      </c>
      <c r="U47" s="171">
        <f>'Ridership-FY2026'!E38/'Revenue Miles_FY2026'!E38</f>
        <v>0.20174882354904383</v>
      </c>
      <c r="V47" s="174">
        <f t="shared" si="5"/>
        <v>0.84151676129837449</v>
      </c>
      <c r="W47" s="169">
        <f t="shared" si="6"/>
        <v>5.5500298395288409E-4</v>
      </c>
      <c r="X47" s="173">
        <f t="shared" si="7"/>
        <v>5.3715675190472436E-4</v>
      </c>
      <c r="Y47" s="172">
        <f>'Op Cost_FY2026'!B38/'Revenue Hours_FY2026'!B38</f>
        <v>27.145188206934915</v>
      </c>
      <c r="Z47" s="171">
        <f>'Op Cost_FY2026'!C38/'Revenue Hours_FY2026'!C38</f>
        <v>30.05751391465677</v>
      </c>
      <c r="AA47" s="171">
        <f>'Op Cost_FY2026'!D38/'Revenue Hours_FY2026'!D38</f>
        <v>32.056181886508831</v>
      </c>
      <c r="AB47" s="171">
        <f>'Op Cost_FY2026'!E38/'Revenue Hours_FY2026'!E38</f>
        <v>90.292061611374407</v>
      </c>
      <c r="AC47" s="174">
        <f t="shared" si="8"/>
        <v>1.5961923046443367</v>
      </c>
      <c r="AD47" s="169">
        <f t="shared" si="9"/>
        <v>4.1318765243336669E-4</v>
      </c>
      <c r="AE47" s="173">
        <f t="shared" si="10"/>
        <v>4.1392192797377425E-4</v>
      </c>
      <c r="AF47" s="172">
        <f>'Op Cost_FY2026'!B38/'Revenue Miles_FY2026'!B38</f>
        <v>2.8140786590288722</v>
      </c>
      <c r="AG47" s="171">
        <f>'Op Cost_FY2026'!C38/'Revenue Miles_FY2026'!C38</f>
        <v>2.9091398814868019</v>
      </c>
      <c r="AH47" s="171">
        <f>'Op Cost_FY2026'!D38/'Revenue Miles_FY2026'!D38</f>
        <v>2.8185332650465065</v>
      </c>
      <c r="AI47" s="171">
        <f>'Op Cost_FY2026'!E38/'Revenue Miles_FY2026'!E38</f>
        <v>7.6300604078363312</v>
      </c>
      <c r="AJ47" s="174">
        <f t="shared" si="11"/>
        <v>1.5109100097087511</v>
      </c>
      <c r="AK47" s="169">
        <f t="shared" si="12"/>
        <v>4.3650975038237502E-4</v>
      </c>
      <c r="AL47" s="173">
        <f t="shared" si="13"/>
        <v>4.3724697924107242E-4</v>
      </c>
      <c r="AM47" s="172">
        <f>'Op Cost_FY2026'!B38/'Ridership-FY2026'!B38</f>
        <v>13.129506726457398</v>
      </c>
      <c r="AN47" s="171">
        <f>'Op Cost_FY2026'!C38/'Ridership-FY2026'!C38</f>
        <v>13.683277027027026</v>
      </c>
      <c r="AO47" s="171">
        <f>'Op Cost_FY2026'!D38/'Ridership-FY2026'!D38</f>
        <v>14.612676659528908</v>
      </c>
      <c r="AP47" s="171">
        <f>'Op Cost_FY2026'!E38/'Ridership-FY2026'!E38</f>
        <v>37.819602977667493</v>
      </c>
      <c r="AQ47" s="170">
        <f t="shared" si="14"/>
        <v>1.7190933112114191</v>
      </c>
      <c r="AR47" s="169">
        <f t="shared" si="15"/>
        <v>3.8364813991594216E-4</v>
      </c>
      <c r="AS47" s="168">
        <f t="shared" si="16"/>
        <v>3.8588940056711181E-4</v>
      </c>
      <c r="AT47" s="167"/>
      <c r="AU47" s="166">
        <f t="shared" si="17"/>
        <v>0</v>
      </c>
      <c r="AV47" s="165">
        <f t="shared" si="18"/>
        <v>0</v>
      </c>
      <c r="AW47" s="165">
        <f t="shared" si="19"/>
        <v>0</v>
      </c>
      <c r="AX47" s="165">
        <f t="shared" si="20"/>
        <v>0</v>
      </c>
      <c r="AY47" s="164">
        <f t="shared" si="21"/>
        <v>0</v>
      </c>
      <c r="AZ47" s="163">
        <f t="shared" si="27"/>
        <v>-1</v>
      </c>
      <c r="BA47" s="162">
        <f t="shared" si="22"/>
        <v>0</v>
      </c>
      <c r="BB47" s="161">
        <f t="shared" si="22"/>
        <v>0</v>
      </c>
      <c r="BC47" s="161">
        <f t="shared" si="22"/>
        <v>0</v>
      </c>
      <c r="BD47" s="161">
        <f t="shared" si="22"/>
        <v>0</v>
      </c>
      <c r="BE47" s="161">
        <f t="shared" si="22"/>
        <v>0</v>
      </c>
      <c r="BF47" s="160">
        <f t="shared" si="28"/>
        <v>79387.012154656608</v>
      </c>
      <c r="BH47" s="159">
        <f>'Op Cost_FY2026'!E38</f>
        <v>457239</v>
      </c>
      <c r="BI47" s="158">
        <f t="shared" si="23"/>
        <v>0.17362257409069787</v>
      </c>
      <c r="BJ47" s="157">
        <f t="shared" si="24"/>
        <v>79387.012154656608</v>
      </c>
      <c r="BK47" s="156">
        <f t="shared" si="25"/>
        <v>0</v>
      </c>
      <c r="BM47" s="548">
        <f t="shared" si="29"/>
        <v>0.21052567481640119</v>
      </c>
      <c r="BN47" s="548">
        <f t="shared" si="30"/>
        <v>0.25083654485648299</v>
      </c>
      <c r="BO47" s="566">
        <f t="shared" si="31"/>
        <v>0.28946808399512508</v>
      </c>
      <c r="BP47" s="401">
        <f t="shared" si="26"/>
        <v>79387.012154656608</v>
      </c>
      <c r="BQ47" s="551">
        <f t="shared" si="32"/>
        <v>1.7152620598536648E-4</v>
      </c>
      <c r="BR47" s="552">
        <f t="shared" si="33"/>
        <v>1.7152620598536648E-4</v>
      </c>
      <c r="BS47" s="553">
        <f t="shared" si="34"/>
        <v>1.8035483589338617E-4</v>
      </c>
      <c r="BT47" s="540">
        <f t="shared" si="35"/>
        <v>80736.851707196329</v>
      </c>
      <c r="BU47" s="540">
        <f t="shared" si="36"/>
        <v>137171.69999999998</v>
      </c>
      <c r="BV47" s="540">
        <f t="shared" si="37"/>
        <v>80736.851707196329</v>
      </c>
      <c r="BW47" s="540">
        <f t="shared" si="41"/>
        <v>0</v>
      </c>
      <c r="BX47" s="541">
        <f t="shared" si="38"/>
        <v>1.7152620598536648E-4</v>
      </c>
      <c r="BY47" s="542">
        <f t="shared" si="39"/>
        <v>1.9421411504185412E-4</v>
      </c>
      <c r="BZ47" s="563">
        <f t="shared" si="40"/>
        <v>80790.754116827055</v>
      </c>
      <c r="CC47" s="147"/>
    </row>
    <row r="48" spans="1:81">
      <c r="A48" s="181" t="s">
        <v>58</v>
      </c>
      <c r="B48" s="180" t="s">
        <v>98</v>
      </c>
      <c r="C48" s="144"/>
      <c r="D48" s="179">
        <f>'Sizing - Reim Expen_FY2026'!B39</f>
        <v>1214573</v>
      </c>
      <c r="E48" s="178">
        <f>'Ridership-FY2026'!$E39</f>
        <v>62326</v>
      </c>
      <c r="F48" s="178">
        <f>'Revenue Hours_FY2026'!$E39</f>
        <v>18443</v>
      </c>
      <c r="G48" s="178">
        <f>'Revenue Miles_FY2026'!$E39</f>
        <v>310461</v>
      </c>
      <c r="H48" s="177">
        <f t="shared" si="0"/>
        <v>2.454721788138943E-3</v>
      </c>
      <c r="I48" s="176">
        <f t="shared" si="1"/>
        <v>2.454721788138943E-3</v>
      </c>
      <c r="J48" s="167"/>
      <c r="K48" s="175">
        <f>'Ridership-FY2026'!B39/'Revenue Hours_FY2026'!B39</f>
        <v>1.8714498597475455</v>
      </c>
      <c r="L48" s="171">
        <f>'Ridership-FY2026'!C39/'Revenue Hours_FY2026'!C39</f>
        <v>2.7255388346838654</v>
      </c>
      <c r="M48" s="171">
        <f>'Ridership-FY2026'!D39/'Revenue Hours_FY2026'!D39</f>
        <v>3.379350030141941</v>
      </c>
      <c r="N48" s="171">
        <f>'Ridership-FY2026'!E39/'Revenue Hours_FY2026'!E39</f>
        <v>3.379385132570623</v>
      </c>
      <c r="O48" s="174">
        <f t="shared" si="2"/>
        <v>1.0377100683979792</v>
      </c>
      <c r="P48" s="169">
        <f t="shared" si="3"/>
        <v>2.5472895146676725E-3</v>
      </c>
      <c r="Q48" s="173">
        <f t="shared" si="4"/>
        <v>2.4619383793282944E-3</v>
      </c>
      <c r="R48" s="172">
        <f>'Ridership-FY2026'!B39/'Revenue Miles_FY2026'!B39</f>
        <v>0.12054951539089166</v>
      </c>
      <c r="S48" s="171">
        <f>'Ridership-FY2026'!C39/'Revenue Miles_FY2026'!C39</f>
        <v>0.1590504069225078</v>
      </c>
      <c r="T48" s="171">
        <f>'Ridership-FY2026'!D39/'Revenue Miles_FY2026'!D39</f>
        <v>0.19664325941233121</v>
      </c>
      <c r="U48" s="171">
        <f>'Ridership-FY2026'!E39/'Revenue Miles_FY2026'!E39</f>
        <v>0.20075307365498404</v>
      </c>
      <c r="V48" s="174">
        <f t="shared" si="5"/>
        <v>1.0125894313685293</v>
      </c>
      <c r="W48" s="169">
        <f t="shared" si="6"/>
        <v>2.4856253396195517E-3</v>
      </c>
      <c r="X48" s="173">
        <f t="shared" si="7"/>
        <v>2.4056995592576175E-3</v>
      </c>
      <c r="Y48" s="172">
        <f>'Op Cost_FY2026'!B39/'Revenue Hours_FY2026'!B39</f>
        <v>53.352691093969142</v>
      </c>
      <c r="Z48" s="171">
        <f>'Op Cost_FY2026'!C39/'Revenue Hours_FY2026'!C39</f>
        <v>79.509949837384923</v>
      </c>
      <c r="AA48" s="171">
        <f>'Op Cost_FY2026'!D39/'Revenue Hours_FY2026'!D39</f>
        <v>73.872855811914292</v>
      </c>
      <c r="AB48" s="171">
        <f>'Op Cost_FY2026'!E39/'Revenue Hours_FY2026'!E39</f>
        <v>66.185056661063825</v>
      </c>
      <c r="AC48" s="174">
        <f t="shared" si="8"/>
        <v>1.0631089096658457</v>
      </c>
      <c r="AD48" s="169">
        <f t="shared" si="9"/>
        <v>2.3090031188907128E-3</v>
      </c>
      <c r="AE48" s="173">
        <f t="shared" si="10"/>
        <v>2.3131064470103733E-3</v>
      </c>
      <c r="AF48" s="172">
        <f>'Op Cost_FY2026'!B39/'Revenue Miles_FY2026'!B39</f>
        <v>3.4367156686984583</v>
      </c>
      <c r="AG48" s="171">
        <f>'Op Cost_FY2026'!C39/'Revenue Miles_FY2026'!C39</f>
        <v>4.639849454756007</v>
      </c>
      <c r="AH48" s="171">
        <f>'Op Cost_FY2026'!D39/'Revenue Miles_FY2026'!D39</f>
        <v>4.2986370217298404</v>
      </c>
      <c r="AI48" s="171">
        <f>'Op Cost_FY2026'!E39/'Revenue Miles_FY2026'!E39</f>
        <v>3.9317369975616905</v>
      </c>
      <c r="AJ48" s="174">
        <f t="shared" si="11"/>
        <v>1.0292620787887317</v>
      </c>
      <c r="AK48" s="169">
        <f t="shared" si="12"/>
        <v>2.3849336711479138E-3</v>
      </c>
      <c r="AL48" s="173">
        <f t="shared" si="13"/>
        <v>2.3889616268279626E-3</v>
      </c>
      <c r="AM48" s="172">
        <f>'Op Cost_FY2026'!B39/'Ridership-FY2026'!B39</f>
        <v>28.508747277453804</v>
      </c>
      <c r="AN48" s="171">
        <f>'Op Cost_FY2026'!C39/'Ridership-FY2026'!C39</f>
        <v>29.17219480624545</v>
      </c>
      <c r="AO48" s="171">
        <f>'Op Cost_FY2026'!D39/'Ridership-FY2026'!D39</f>
        <v>21.860078166809917</v>
      </c>
      <c r="AP48" s="171">
        <f>'Op Cost_FY2026'!E39/'Ridership-FY2026'!E39</f>
        <v>19.584940474280398</v>
      </c>
      <c r="AQ48" s="170">
        <f t="shared" si="14"/>
        <v>1.01288844997681</v>
      </c>
      <c r="AR48" s="169">
        <f t="shared" si="15"/>
        <v>2.4234867997508943E-3</v>
      </c>
      <c r="AS48" s="168">
        <f t="shared" si="16"/>
        <v>2.4376447352073278E-3</v>
      </c>
      <c r="AT48" s="167"/>
      <c r="AU48" s="166">
        <f t="shared" si="17"/>
        <v>0</v>
      </c>
      <c r="AV48" s="165">
        <f t="shared" si="18"/>
        <v>0</v>
      </c>
      <c r="AW48" s="165">
        <f t="shared" si="19"/>
        <v>0</v>
      </c>
      <c r="AX48" s="165">
        <f t="shared" si="20"/>
        <v>0</v>
      </c>
      <c r="AY48" s="164">
        <f t="shared" si="21"/>
        <v>0</v>
      </c>
      <c r="AZ48" s="163">
        <f t="shared" si="27"/>
        <v>-1</v>
      </c>
      <c r="BA48" s="162">
        <f t="shared" si="22"/>
        <v>0</v>
      </c>
      <c r="BB48" s="161">
        <f t="shared" si="22"/>
        <v>0</v>
      </c>
      <c r="BC48" s="161">
        <f t="shared" si="22"/>
        <v>0</v>
      </c>
      <c r="BD48" s="161">
        <f t="shared" si="22"/>
        <v>0</v>
      </c>
      <c r="BE48" s="161">
        <f t="shared" si="22"/>
        <v>0</v>
      </c>
      <c r="BF48" s="160">
        <f t="shared" si="28"/>
        <v>295473.94246771099</v>
      </c>
      <c r="BH48" s="159">
        <f>'Op Cost_FY2026'!E39</f>
        <v>1220651</v>
      </c>
      <c r="BI48" s="158">
        <f t="shared" si="23"/>
        <v>0.24206258993578916</v>
      </c>
      <c r="BJ48" s="157">
        <f t="shared" si="24"/>
        <v>295473.94246771099</v>
      </c>
      <c r="BK48" s="156">
        <f t="shared" si="25"/>
        <v>0</v>
      </c>
      <c r="BM48" s="548">
        <f t="shared" si="29"/>
        <v>0.29799580702784545</v>
      </c>
      <c r="BN48" s="548">
        <f t="shared" si="30"/>
        <v>0.24959851799430183</v>
      </c>
      <c r="BO48" s="566">
        <f t="shared" si="31"/>
        <v>0.55897887592655449</v>
      </c>
      <c r="BP48" s="401">
        <f t="shared" si="26"/>
        <v>295473.94246771099</v>
      </c>
      <c r="BQ48" s="551">
        <f t="shared" si="32"/>
        <v>1.0221167430964398E-3</v>
      </c>
      <c r="BR48" s="552">
        <f t="shared" si="33"/>
        <v>1.0221167430964398E-3</v>
      </c>
      <c r="BS48" s="553">
        <f t="shared" si="34"/>
        <v>1.0747261411516778E-3</v>
      </c>
      <c r="BT48" s="540">
        <f t="shared" si="35"/>
        <v>303517.57404702989</v>
      </c>
      <c r="BU48" s="540">
        <f t="shared" si="36"/>
        <v>366195.3</v>
      </c>
      <c r="BV48" s="540">
        <f t="shared" si="37"/>
        <v>303517.57404702989</v>
      </c>
      <c r="BW48" s="540">
        <f t="shared" si="41"/>
        <v>0</v>
      </c>
      <c r="BX48" s="541">
        <f t="shared" si="38"/>
        <v>1.0221167430964398E-3</v>
      </c>
      <c r="BY48" s="542">
        <f t="shared" si="39"/>
        <v>1.1573129457948413E-3</v>
      </c>
      <c r="BZ48" s="563">
        <f t="shared" si="40"/>
        <v>303838.77601765771</v>
      </c>
      <c r="CC48" s="147"/>
    </row>
    <row r="49" spans="1:81">
      <c r="A49" s="181" t="s">
        <v>58</v>
      </c>
      <c r="B49" s="180" t="s">
        <v>99</v>
      </c>
      <c r="C49" s="144"/>
      <c r="D49" s="179">
        <f>'Sizing - Reim Expen_FY2026'!B40</f>
        <v>4861903</v>
      </c>
      <c r="E49" s="178">
        <f>'Ridership-FY2026'!$E40</f>
        <v>192152</v>
      </c>
      <c r="F49" s="178">
        <f>'Revenue Hours_FY2026'!$E40</f>
        <v>63064.05</v>
      </c>
      <c r="G49" s="178">
        <f>'Revenue Miles_FY2026'!$E40</f>
        <v>985112</v>
      </c>
      <c r="H49" s="177">
        <f t="shared" si="0"/>
        <v>8.5179450349820891E-3</v>
      </c>
      <c r="I49" s="176">
        <f t="shared" si="1"/>
        <v>8.5179450349820891E-3</v>
      </c>
      <c r="J49" s="167"/>
      <c r="K49" s="175">
        <f>'Ridership-FY2026'!B40/'Revenue Hours_FY2026'!B40</f>
        <v>2.6052602436323364</v>
      </c>
      <c r="L49" s="171">
        <f>'Ridership-FY2026'!C40/'Revenue Hours_FY2026'!C40</f>
        <v>2.7993357457988401</v>
      </c>
      <c r="M49" s="171">
        <f>'Ridership-FY2026'!D40/'Revenue Hours_FY2026'!D40</f>
        <v>2.9370912341787041</v>
      </c>
      <c r="N49" s="171">
        <f>'Ridership-FY2026'!E40/'Revenue Hours_FY2026'!E40</f>
        <v>3.0469340297681482</v>
      </c>
      <c r="O49" s="174">
        <f t="shared" si="2"/>
        <v>0.89655682269168502</v>
      </c>
      <c r="P49" s="169">
        <f t="shared" si="3"/>
        <v>7.636821736425956E-3</v>
      </c>
      <c r="Q49" s="173">
        <f t="shared" si="4"/>
        <v>7.380937432017223E-3</v>
      </c>
      <c r="R49" s="172">
        <f>'Ridership-FY2026'!B40/'Revenue Miles_FY2026'!B40</f>
        <v>0.16890249812434263</v>
      </c>
      <c r="S49" s="171">
        <f>'Ridership-FY2026'!C40/'Revenue Miles_FY2026'!C40</f>
        <v>0.1810610173694088</v>
      </c>
      <c r="T49" s="171">
        <f>'Ridership-FY2026'!D40/'Revenue Miles_FY2026'!D40</f>
        <v>0.18826739427012279</v>
      </c>
      <c r="U49" s="171">
        <f>'Ridership-FY2026'!E40/'Revenue Miles_FY2026'!E40</f>
        <v>0.19505599363321124</v>
      </c>
      <c r="V49" s="174">
        <f t="shared" si="5"/>
        <v>0.89673887950738995</v>
      </c>
      <c r="W49" s="169">
        <f t="shared" si="6"/>
        <v>7.638372486375374E-3</v>
      </c>
      <c r="X49" s="173">
        <f t="shared" si="7"/>
        <v>7.3927590900450483E-3</v>
      </c>
      <c r="Y49" s="172">
        <f>'Op Cost_FY2026'!B40/'Revenue Hours_FY2026'!B40</f>
        <v>61.375230712440015</v>
      </c>
      <c r="Z49" s="171">
        <f>'Op Cost_FY2026'!C40/'Revenue Hours_FY2026'!C40</f>
        <v>66.464250896412693</v>
      </c>
      <c r="AA49" s="171">
        <f>'Op Cost_FY2026'!D40/'Revenue Hours_FY2026'!D40</f>
        <v>73.070531219122003</v>
      </c>
      <c r="AB49" s="171">
        <f>'Op Cost_FY2026'!E40/'Revenue Hours_FY2026'!E40</f>
        <v>77.638416815919683</v>
      </c>
      <c r="AC49" s="174">
        <f t="shared" si="8"/>
        <v>1.0340237832501058</v>
      </c>
      <c r="AD49" s="169">
        <f t="shared" si="9"/>
        <v>8.2376683911551778E-3</v>
      </c>
      <c r="AE49" s="173">
        <f t="shared" si="10"/>
        <v>8.2523075469334087E-3</v>
      </c>
      <c r="AF49" s="172">
        <f>'Op Cost_FY2026'!B40/'Revenue Miles_FY2026'!B40</f>
        <v>3.9790381078535897</v>
      </c>
      <c r="AG49" s="171">
        <f>'Op Cost_FY2026'!C40/'Revenue Miles_FY2026'!C40</f>
        <v>4.2989073047277451</v>
      </c>
      <c r="AH49" s="171">
        <f>'Op Cost_FY2026'!D40/'Revenue Miles_FY2026'!D40</f>
        <v>4.6838172238134641</v>
      </c>
      <c r="AI49" s="171">
        <f>'Op Cost_FY2026'!E40/'Revenue Miles_FY2026'!E40</f>
        <v>4.9701891764591233</v>
      </c>
      <c r="AJ49" s="174">
        <f t="shared" si="11"/>
        <v>1.0349971909494167</v>
      </c>
      <c r="AK49" s="169">
        <f t="shared" si="12"/>
        <v>8.2299209210108734E-3</v>
      </c>
      <c r="AL49" s="173">
        <f t="shared" si="13"/>
        <v>8.2438205766370114E-3</v>
      </c>
      <c r="AM49" s="172">
        <f>'Op Cost_FY2026'!B40/'Ridership-FY2026'!B40</f>
        <v>23.558195716704567</v>
      </c>
      <c r="AN49" s="171">
        <f>'Op Cost_FY2026'!C40/'Ridership-FY2026'!C40</f>
        <v>23.742865069386646</v>
      </c>
      <c r="AO49" s="171">
        <f>'Op Cost_FY2026'!D40/'Ridership-FY2026'!D40</f>
        <v>24.878536413443978</v>
      </c>
      <c r="AP49" s="171">
        <f>'Op Cost_FY2026'!E40/'Ridership-FY2026'!E40</f>
        <v>25.48083288230151</v>
      </c>
      <c r="AQ49" s="170">
        <f t="shared" si="14"/>
        <v>1.1585307516945786</v>
      </c>
      <c r="AR49" s="169">
        <f t="shared" si="15"/>
        <v>7.3523685258444138E-3</v>
      </c>
      <c r="AS49" s="168">
        <f t="shared" si="16"/>
        <v>7.3953208369737823E-3</v>
      </c>
      <c r="AT49" s="167"/>
      <c r="AU49" s="166">
        <f t="shared" si="17"/>
        <v>0</v>
      </c>
      <c r="AV49" s="165">
        <f t="shared" si="18"/>
        <v>0</v>
      </c>
      <c r="AW49" s="165">
        <f t="shared" si="19"/>
        <v>0</v>
      </c>
      <c r="AX49" s="165">
        <f t="shared" si="20"/>
        <v>0</v>
      </c>
      <c r="AY49" s="164">
        <f t="shared" si="21"/>
        <v>0</v>
      </c>
      <c r="AZ49" s="163">
        <f t="shared" si="27"/>
        <v>-1</v>
      </c>
      <c r="BA49" s="162">
        <f t="shared" si="22"/>
        <v>0</v>
      </c>
      <c r="BB49" s="161">
        <f t="shared" si="22"/>
        <v>0</v>
      </c>
      <c r="BC49" s="161">
        <f t="shared" si="22"/>
        <v>0</v>
      </c>
      <c r="BD49" s="161">
        <f t="shared" si="22"/>
        <v>0</v>
      </c>
      <c r="BE49" s="161">
        <f t="shared" si="22"/>
        <v>0</v>
      </c>
      <c r="BF49" s="160">
        <f t="shared" si="28"/>
        <v>1025301.8543162757</v>
      </c>
      <c r="BH49" s="159">
        <f>'Op Cost_FY2026'!E40</f>
        <v>4896193</v>
      </c>
      <c r="BI49" s="158">
        <f t="shared" si="23"/>
        <v>0.20940797356564084</v>
      </c>
      <c r="BJ49" s="157">
        <f t="shared" si="24"/>
        <v>1025301.8543162757</v>
      </c>
      <c r="BK49" s="156">
        <f t="shared" si="25"/>
        <v>0</v>
      </c>
      <c r="BM49" s="548">
        <f t="shared" si="29"/>
        <v>0.26868010881928966</v>
      </c>
      <c r="BN49" s="548">
        <f t="shared" si="30"/>
        <v>0.24251527535975434</v>
      </c>
      <c r="BO49" s="566">
        <f t="shared" si="31"/>
        <v>0.42963933172709223</v>
      </c>
      <c r="BP49" s="401">
        <f t="shared" si="26"/>
        <v>1025301.8543162757</v>
      </c>
      <c r="BQ49" s="551">
        <f t="shared" si="32"/>
        <v>2.9184056524023164E-3</v>
      </c>
      <c r="BR49" s="552">
        <f t="shared" si="33"/>
        <v>2.9184056524023164E-3</v>
      </c>
      <c r="BS49" s="553">
        <f t="shared" si="34"/>
        <v>3.0686189873182124E-3</v>
      </c>
      <c r="BT49" s="540">
        <f t="shared" si="35"/>
        <v>1048268.4870668666</v>
      </c>
      <c r="BU49" s="540">
        <f t="shared" si="36"/>
        <v>1468857.9</v>
      </c>
      <c r="BV49" s="540">
        <f t="shared" si="37"/>
        <v>1048268.4870668666</v>
      </c>
      <c r="BW49" s="540">
        <f t="shared" si="41"/>
        <v>0</v>
      </c>
      <c r="BX49" s="541">
        <f t="shared" si="38"/>
        <v>2.9184056524023164E-3</v>
      </c>
      <c r="BY49" s="542">
        <f t="shared" si="39"/>
        <v>3.3044255124655185E-3</v>
      </c>
      <c r="BZ49" s="563">
        <f t="shared" si="40"/>
        <v>1049185.6011372253</v>
      </c>
      <c r="CC49" s="147"/>
    </row>
    <row r="50" spans="1:81" s="115" customFormat="1" ht="15" thickBot="1">
      <c r="A50" s="146"/>
      <c r="B50" s="145" t="s">
        <v>102</v>
      </c>
      <c r="C50" s="144"/>
      <c r="D50" s="119">
        <f t="shared" ref="D50:I50" si="42">SUM(D12:D49)</f>
        <v>568658897</v>
      </c>
      <c r="E50" s="143">
        <f t="shared" si="42"/>
        <v>53095068</v>
      </c>
      <c r="F50" s="143">
        <f t="shared" si="42"/>
        <v>4681948.6436643004</v>
      </c>
      <c r="G50" s="143">
        <f t="shared" si="42"/>
        <v>66013685.590599991</v>
      </c>
      <c r="H50" s="142">
        <f t="shared" si="42"/>
        <v>1</v>
      </c>
      <c r="I50" s="141">
        <f t="shared" si="42"/>
        <v>1</v>
      </c>
      <c r="J50" s="127"/>
      <c r="K50" s="140">
        <f>'Ridership-FY2026'!B41/'Revenue Hours_FY2026'!B41</f>
        <v>6.9503910166537581</v>
      </c>
      <c r="L50" s="138">
        <f>'Ridership-FY2026'!C41/'Revenue Hours_FY2026'!C41</f>
        <v>8.9103336909540651</v>
      </c>
      <c r="M50" s="138">
        <f>'Ridership-FY2026'!D41/'Revenue Hours_FY2026'!D41</f>
        <v>10.58680012169124</v>
      </c>
      <c r="N50" s="138">
        <f>'Ridership-FY2026'!E41/'Revenue Hours_FY2026'!E41</f>
        <v>11.340378129061545</v>
      </c>
      <c r="O50" s="137"/>
      <c r="P50" s="132">
        <f>SUM(P12:P49)</f>
        <v>1.0346682662961959</v>
      </c>
      <c r="Q50" s="136">
        <f>SUM(Q12:Q49)</f>
        <v>0.99999999999999989</v>
      </c>
      <c r="R50" s="139">
        <f>'Ridership-FY2026'!B41/'Revenue Miles_FY2026'!B41</f>
        <v>0.50001375435483453</v>
      </c>
      <c r="S50" s="138">
        <f>'Ridership-FY2026'!C41/'Revenue Miles_FY2026'!C41</f>
        <v>0.62877909337252769</v>
      </c>
      <c r="T50" s="138">
        <f>'Ridership-FY2026'!D41/'Revenue Miles_FY2026'!D41</f>
        <v>0.74929493676777836</v>
      </c>
      <c r="U50" s="138">
        <f>'Ridership-FY2026'!E41/'Revenue Miles_FY2026'!E41</f>
        <v>0.80430394887026979</v>
      </c>
      <c r="V50" s="137"/>
      <c r="W50" s="132">
        <f>SUM(W12:W49)</f>
        <v>1.0332235087521064</v>
      </c>
      <c r="X50" s="136">
        <f>SUM(X12:X49)</f>
        <v>0.99999999999999967</v>
      </c>
      <c r="Y50" s="135">
        <f>'Op Cost_FY2026'!B41/'Revenue Hours_FY2026'!B41</f>
        <v>108.38174623012041</v>
      </c>
      <c r="Z50" s="134">
        <f>'Op Cost_FY2026'!C41/'Revenue Hours_FY2026'!C41</f>
        <v>109.41026264200019</v>
      </c>
      <c r="AA50" s="134">
        <f>'Op Cost_FY2026'!D41/'Revenue Hours_FY2026'!D41</f>
        <v>119.77918538846754</v>
      </c>
      <c r="AB50" s="134">
        <f>'Op Cost_FY2026'!E41/'Revenue Hours_FY2026'!E41</f>
        <v>124.14956084291406</v>
      </c>
      <c r="AC50" s="137"/>
      <c r="AD50" s="132">
        <f>SUM(AD12:AD49)</f>
        <v>0.99822605305304313</v>
      </c>
      <c r="AE50" s="136">
        <f>SUM(AE12:AE49)</f>
        <v>1</v>
      </c>
      <c r="AF50" s="135">
        <f>'Op Cost_FY2026'!B41/'Revenue Miles_FY2026'!B41</f>
        <v>7.7970237510674849</v>
      </c>
      <c r="AG50" s="134">
        <f>'Op Cost_FY2026'!C41/'Revenue Miles_FY2026'!C41</f>
        <v>7.7207979112531833</v>
      </c>
      <c r="AH50" s="134">
        <f>'Op Cost_FY2026'!D41/'Revenue Miles_FY2026'!D41</f>
        <v>8.4775320314076392</v>
      </c>
      <c r="AI50" s="134">
        <f>'Op Cost_FY2026'!E41/'Revenue Miles_FY2026'!E41</f>
        <v>8.8051721820962641</v>
      </c>
      <c r="AJ50" s="137"/>
      <c r="AK50" s="132">
        <f>SUM(AK12:AK49)</f>
        <v>0.9983139303558437</v>
      </c>
      <c r="AL50" s="136">
        <f>SUM(AL12:AL49)</f>
        <v>0.99999999999999989</v>
      </c>
      <c r="AM50" s="135">
        <f>'Op Cost_FY2026'!B41/'Ridership-FY2026'!B41</f>
        <v>15.593618541809814</v>
      </c>
      <c r="AN50" s="134">
        <f>'Op Cost_FY2026'!C41/'Ridership-FY2026'!C41</f>
        <v>12.279030891185982</v>
      </c>
      <c r="AO50" s="134">
        <f>'Op Cost_FY2026'!D41/'Ridership-FY2026'!D41</f>
        <v>11.314012167194182</v>
      </c>
      <c r="AP50" s="134">
        <f>'Op Cost_FY2026'!E41/'Ridership-FY2026'!E41</f>
        <v>10.947568011401737</v>
      </c>
      <c r="AQ50" s="133"/>
      <c r="AR50" s="132">
        <f>SUM(AR12:AR49)</f>
        <v>0.99419196109591035</v>
      </c>
      <c r="AS50" s="131">
        <f>SUM(AS12:AS49)</f>
        <v>0.99999999999999989</v>
      </c>
      <c r="AT50" s="127"/>
      <c r="AU50" s="130">
        <f>SUM(AU12:AU49)</f>
        <v>0</v>
      </c>
      <c r="AV50" s="129">
        <f>SUM(AV12:AV49)</f>
        <v>0</v>
      </c>
      <c r="AW50" s="129">
        <f>SUM(AW12:AW49)</f>
        <v>0</v>
      </c>
      <c r="AX50" s="129">
        <f>SUM(AX12:AX49)</f>
        <v>0</v>
      </c>
      <c r="AY50" s="128">
        <f>SUM(AY12:AY49)</f>
        <v>0</v>
      </c>
      <c r="AZ50" s="127"/>
      <c r="BA50" s="126">
        <f t="shared" si="22"/>
        <v>0</v>
      </c>
      <c r="BB50" s="125">
        <f t="shared" si="22"/>
        <v>0</v>
      </c>
      <c r="BC50" s="125">
        <f t="shared" si="22"/>
        <v>0</v>
      </c>
      <c r="BD50" s="125">
        <f t="shared" si="22"/>
        <v>0</v>
      </c>
      <c r="BE50" s="125">
        <f t="shared" si="22"/>
        <v>0</v>
      </c>
      <c r="BF50" s="124">
        <f>SUM(BF12:BF49)</f>
        <v>120369625.55</v>
      </c>
      <c r="BH50" s="123">
        <f>'Op Cost_FY2026'!E41</f>
        <v>581261868</v>
      </c>
      <c r="BI50" s="122">
        <f>BF50/BH50</f>
        <v>0.20708329958778579</v>
      </c>
      <c r="BJ50" s="121">
        <f>SUM(BJ12:BJ49)</f>
        <v>119220514.36180416</v>
      </c>
      <c r="BK50" s="120">
        <f>SUM(BK12:BK49)</f>
        <v>1149111.1881958526</v>
      </c>
      <c r="BP50" s="567">
        <f>SUM(BP12:BP49)</f>
        <v>112576607.26180415</v>
      </c>
      <c r="BQ50" s="118">
        <f>SUM(BQ12:BQ49)</f>
        <v>1.1499951734477034</v>
      </c>
      <c r="BR50" s="117">
        <f>SUM(BR12:BR49)</f>
        <v>0.95104855456585269</v>
      </c>
      <c r="BS50" s="568">
        <f>SUM(BS12:BS49)</f>
        <v>1</v>
      </c>
      <c r="BT50" s="116">
        <f>SUM(BT12:BT49)</f>
        <v>126704868.99999999</v>
      </c>
      <c r="BU50" s="116"/>
      <c r="BV50" s="116">
        <f t="shared" ref="BV50" si="43">SUM(BV12:BV49)</f>
        <v>126427327.84590253</v>
      </c>
      <c r="BW50" s="569">
        <f>SUM(BW12:BW49)</f>
        <v>277541.15409744892</v>
      </c>
      <c r="BX50" s="570">
        <f>SUM(BX12:BX49)</f>
        <v>0.88318094670102498</v>
      </c>
      <c r="BY50" s="571">
        <f>SUM(BY12:BY49)</f>
        <v>1</v>
      </c>
      <c r="BZ50" s="572">
        <f>SUM(BZ12:BZ49)</f>
        <v>126704868.99999999</v>
      </c>
    </row>
    <row r="51" spans="1:81">
      <c r="BS51" s="113"/>
    </row>
    <row r="52" spans="1:81">
      <c r="BS52" s="113"/>
    </row>
    <row r="53" spans="1:81">
      <c r="B53" s="107">
        <v>1</v>
      </c>
      <c r="C53" s="107">
        <f>B53+1</f>
        <v>2</v>
      </c>
      <c r="D53" s="107">
        <f t="shared" ref="D53:BO53" si="44">C53+1</f>
        <v>3</v>
      </c>
      <c r="E53" s="107">
        <f t="shared" si="44"/>
        <v>4</v>
      </c>
      <c r="F53" s="107">
        <f t="shared" si="44"/>
        <v>5</v>
      </c>
      <c r="G53" s="107">
        <f t="shared" si="44"/>
        <v>6</v>
      </c>
      <c r="H53" s="107">
        <f t="shared" si="44"/>
        <v>7</v>
      </c>
      <c r="I53" s="107">
        <f t="shared" si="44"/>
        <v>8</v>
      </c>
      <c r="J53" s="107">
        <f t="shared" si="44"/>
        <v>9</v>
      </c>
      <c r="K53" s="107">
        <f t="shared" si="44"/>
        <v>10</v>
      </c>
      <c r="L53" s="107">
        <f t="shared" si="44"/>
        <v>11</v>
      </c>
      <c r="M53" s="107">
        <f t="shared" si="44"/>
        <v>12</v>
      </c>
      <c r="N53" s="107">
        <f t="shared" si="44"/>
        <v>13</v>
      </c>
      <c r="O53" s="107">
        <f t="shared" si="44"/>
        <v>14</v>
      </c>
      <c r="P53" s="107">
        <f t="shared" si="44"/>
        <v>15</v>
      </c>
      <c r="Q53" s="107">
        <f t="shared" si="44"/>
        <v>16</v>
      </c>
      <c r="R53" s="107">
        <f t="shared" si="44"/>
        <v>17</v>
      </c>
      <c r="S53" s="107">
        <f t="shared" si="44"/>
        <v>18</v>
      </c>
      <c r="T53" s="107">
        <f t="shared" si="44"/>
        <v>19</v>
      </c>
      <c r="U53" s="107">
        <f t="shared" si="44"/>
        <v>20</v>
      </c>
      <c r="V53" s="107">
        <f t="shared" si="44"/>
        <v>21</v>
      </c>
      <c r="W53" s="107">
        <f t="shared" si="44"/>
        <v>22</v>
      </c>
      <c r="X53" s="107">
        <f t="shared" si="44"/>
        <v>23</v>
      </c>
      <c r="Y53" s="107">
        <f t="shared" si="44"/>
        <v>24</v>
      </c>
      <c r="Z53" s="107">
        <f t="shared" si="44"/>
        <v>25</v>
      </c>
      <c r="AA53" s="107">
        <f t="shared" si="44"/>
        <v>26</v>
      </c>
      <c r="AB53" s="107">
        <f t="shared" si="44"/>
        <v>27</v>
      </c>
      <c r="AC53" s="107">
        <f t="shared" si="44"/>
        <v>28</v>
      </c>
      <c r="AD53" s="107">
        <f t="shared" si="44"/>
        <v>29</v>
      </c>
      <c r="AE53" s="107">
        <f t="shared" si="44"/>
        <v>30</v>
      </c>
      <c r="AF53" s="107">
        <f t="shared" si="44"/>
        <v>31</v>
      </c>
      <c r="AG53" s="107">
        <f t="shared" si="44"/>
        <v>32</v>
      </c>
      <c r="AH53" s="107">
        <f t="shared" si="44"/>
        <v>33</v>
      </c>
      <c r="AI53" s="107">
        <f t="shared" si="44"/>
        <v>34</v>
      </c>
      <c r="AJ53" s="107">
        <f t="shared" si="44"/>
        <v>35</v>
      </c>
      <c r="AK53" s="107">
        <f t="shared" si="44"/>
        <v>36</v>
      </c>
      <c r="AL53" s="107">
        <f t="shared" si="44"/>
        <v>37</v>
      </c>
      <c r="AM53" s="107">
        <f t="shared" si="44"/>
        <v>38</v>
      </c>
      <c r="AN53" s="107">
        <f t="shared" si="44"/>
        <v>39</v>
      </c>
      <c r="AO53" s="107">
        <f t="shared" si="44"/>
        <v>40</v>
      </c>
      <c r="AP53" s="107">
        <f t="shared" si="44"/>
        <v>41</v>
      </c>
      <c r="AQ53" s="107">
        <f t="shared" si="44"/>
        <v>42</v>
      </c>
      <c r="AR53" s="107">
        <f t="shared" si="44"/>
        <v>43</v>
      </c>
      <c r="AS53" s="107">
        <f t="shared" si="44"/>
        <v>44</v>
      </c>
      <c r="AT53" s="107">
        <f t="shared" si="44"/>
        <v>45</v>
      </c>
      <c r="AU53" s="107">
        <f t="shared" si="44"/>
        <v>46</v>
      </c>
      <c r="AV53" s="107">
        <f t="shared" si="44"/>
        <v>47</v>
      </c>
      <c r="AW53" s="107">
        <f t="shared" si="44"/>
        <v>48</v>
      </c>
      <c r="AX53" s="107">
        <f t="shared" si="44"/>
        <v>49</v>
      </c>
      <c r="AY53" s="107">
        <f t="shared" si="44"/>
        <v>50</v>
      </c>
      <c r="AZ53" s="107">
        <f t="shared" si="44"/>
        <v>51</v>
      </c>
      <c r="BA53" s="107">
        <f t="shared" si="44"/>
        <v>52</v>
      </c>
      <c r="BB53" s="107">
        <f t="shared" si="44"/>
        <v>53</v>
      </c>
      <c r="BC53" s="107">
        <f t="shared" si="44"/>
        <v>54</v>
      </c>
      <c r="BD53" s="107">
        <f t="shared" si="44"/>
        <v>55</v>
      </c>
      <c r="BE53" s="107">
        <f t="shared" si="44"/>
        <v>56</v>
      </c>
      <c r="BF53" s="107">
        <f t="shared" si="44"/>
        <v>57</v>
      </c>
      <c r="BG53" s="107">
        <f t="shared" si="44"/>
        <v>58</v>
      </c>
      <c r="BH53" s="107">
        <f t="shared" si="44"/>
        <v>59</v>
      </c>
      <c r="BI53" s="107">
        <f t="shared" si="44"/>
        <v>60</v>
      </c>
      <c r="BJ53" s="107">
        <f t="shared" si="44"/>
        <v>61</v>
      </c>
      <c r="BK53" s="107">
        <f t="shared" si="44"/>
        <v>62</v>
      </c>
      <c r="BL53" s="107">
        <f t="shared" si="44"/>
        <v>63</v>
      </c>
      <c r="BM53" s="107">
        <f t="shared" si="44"/>
        <v>64</v>
      </c>
      <c r="BN53" s="107">
        <f t="shared" si="44"/>
        <v>65</v>
      </c>
      <c r="BO53" s="107">
        <f t="shared" si="44"/>
        <v>66</v>
      </c>
      <c r="BP53" s="107">
        <f t="shared" ref="BP53:BZ53" si="45">BO53+1</f>
        <v>67</v>
      </c>
      <c r="BQ53" s="107">
        <f t="shared" si="45"/>
        <v>68</v>
      </c>
      <c r="BR53" s="107">
        <f t="shared" si="45"/>
        <v>69</v>
      </c>
      <c r="BS53" s="107">
        <f t="shared" si="45"/>
        <v>70</v>
      </c>
      <c r="BT53" s="107">
        <f t="shared" si="45"/>
        <v>71</v>
      </c>
      <c r="BU53" s="107">
        <f t="shared" si="45"/>
        <v>72</v>
      </c>
      <c r="BV53" s="107">
        <f t="shared" si="45"/>
        <v>73</v>
      </c>
      <c r="BW53" s="107">
        <f t="shared" si="45"/>
        <v>74</v>
      </c>
      <c r="BX53" s="107">
        <f t="shared" si="45"/>
        <v>75</v>
      </c>
      <c r="BY53" s="107">
        <f t="shared" si="45"/>
        <v>76</v>
      </c>
      <c r="BZ53" s="107">
        <f t="shared" si="45"/>
        <v>77</v>
      </c>
    </row>
    <row r="54" spans="1:81">
      <c r="BS54" s="113"/>
    </row>
    <row r="55" spans="1:81">
      <c r="BS55" s="113"/>
    </row>
    <row r="56" spans="1:81">
      <c r="BS56" s="113"/>
    </row>
    <row r="57" spans="1:81">
      <c r="BS57" s="113"/>
    </row>
    <row r="58" spans="1:81">
      <c r="BS58" s="113"/>
    </row>
    <row r="59" spans="1:81">
      <c r="BS59" s="113"/>
    </row>
    <row r="60" spans="1:81">
      <c r="BS60" s="113"/>
    </row>
    <row r="61" spans="1:81">
      <c r="BS61" s="113"/>
    </row>
    <row r="62" spans="1:81">
      <c r="BS62" s="113"/>
    </row>
    <row r="63" spans="1:81">
      <c r="BS63" s="113"/>
    </row>
    <row r="64" spans="1:81">
      <c r="BS64" s="113"/>
    </row>
    <row r="65" spans="71:71">
      <c r="BS65" s="113"/>
    </row>
    <row r="66" spans="71:71">
      <c r="BS66" s="113"/>
    </row>
    <row r="67" spans="71:71">
      <c r="BS67" s="113"/>
    </row>
    <row r="68" spans="71:71">
      <c r="BS68" s="113"/>
    </row>
    <row r="69" spans="71:71">
      <c r="BS69" s="113"/>
    </row>
    <row r="70" spans="71:71">
      <c r="BS70" s="113"/>
    </row>
    <row r="71" spans="71:71">
      <c r="BS71" s="113"/>
    </row>
    <row r="72" spans="71:71">
      <c r="BS72" s="113"/>
    </row>
    <row r="73" spans="71:71">
      <c r="BS73" s="113"/>
    </row>
    <row r="74" spans="71:71">
      <c r="BS74" s="113"/>
    </row>
    <row r="75" spans="71:71">
      <c r="BS75" s="113"/>
    </row>
    <row r="76" spans="71:71">
      <c r="BS76" s="113"/>
    </row>
    <row r="77" spans="71:71">
      <c r="BS77" s="113"/>
    </row>
    <row r="78" spans="71:71">
      <c r="BS78" s="113"/>
    </row>
    <row r="79" spans="71:71">
      <c r="BS79" s="113"/>
    </row>
    <row r="80" spans="71:71">
      <c r="BS80" s="113"/>
    </row>
    <row r="81" spans="71:71">
      <c r="BS81" s="113"/>
    </row>
    <row r="82" spans="71:71">
      <c r="BS82" s="113"/>
    </row>
    <row r="83" spans="71:71">
      <c r="BS83" s="113"/>
    </row>
    <row r="84" spans="71:71">
      <c r="BS84" s="113"/>
    </row>
    <row r="85" spans="71:71">
      <c r="BS85" s="113"/>
    </row>
    <row r="86" spans="71:71">
      <c r="BS86" s="113"/>
    </row>
    <row r="87" spans="71:71">
      <c r="BS87" s="112"/>
    </row>
  </sheetData>
  <autoFilter ref="A11:BZ11" xr:uid="{00000000-0001-0000-0F00-000000000000}"/>
  <mergeCells count="8">
    <mergeCell ref="AU5:AY5"/>
    <mergeCell ref="A9:A11"/>
    <mergeCell ref="B9:B11"/>
    <mergeCell ref="D3:I3"/>
    <mergeCell ref="K3:AS3"/>
    <mergeCell ref="AU3:AY3"/>
    <mergeCell ref="BA3:BF3"/>
    <mergeCell ref="BH3:BZ3"/>
  </mergeCells>
  <conditionalFormatting sqref="BI12:BI49">
    <cfRule type="cellIs" dxfId="2" priority="5" operator="greaterThan">
      <formula>$BJ$6</formula>
    </cfRule>
  </conditionalFormatting>
  <conditionalFormatting sqref="BL12:BL49">
    <cfRule type="cellIs" dxfId="1" priority="1" operator="greaterThan">
      <formula>$BL$51</formula>
    </cfRule>
  </conditionalFormatting>
  <conditionalFormatting sqref="BS51:BS52 BS54:BS86">
    <cfRule type="cellIs" dxfId="0" priority="2" operator="greaterThan">
      <formula>0.04</formula>
    </cfRule>
  </conditionalFormatting>
  <printOptions horizontalCentered="1"/>
  <pageMargins left="0.25" right="0.25" top="0.75" bottom="0.75" header="0.3" footer="0.3"/>
  <pageSetup paperSize="17" scale="18" orientation="landscape" r:id="rId1"/>
  <headerFooter alignWithMargins="0">
    <oddFooter>&amp;L&amp;F&amp;R&amp;D</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1050E-C691-437A-8E4E-2F9F9712B23A}">
  <sheetPr>
    <pageSetUpPr fitToPage="1"/>
  </sheetPr>
  <dimension ref="A1:I42"/>
  <sheetViews>
    <sheetView zoomScaleNormal="100" workbookViewId="0"/>
  </sheetViews>
  <sheetFormatPr defaultColWidth="9.28515625" defaultRowHeight="14.25"/>
  <cols>
    <col min="1" max="1" width="46.7109375" style="264" bestFit="1" customWidth="1"/>
    <col min="2" max="4" width="15.7109375" style="295" customWidth="1"/>
    <col min="5" max="6" width="15.7109375" style="264" customWidth="1"/>
    <col min="7" max="7" width="9.28515625" style="264"/>
    <col min="8" max="8" width="15.28515625" style="266" bestFit="1" customWidth="1"/>
    <col min="9" max="9" width="6" style="266" bestFit="1" customWidth="1"/>
    <col min="10" max="16384" width="9.28515625" style="264"/>
  </cols>
  <sheetData>
    <row r="1" spans="1:9" ht="15" thickBot="1">
      <c r="B1" s="265" t="s">
        <v>186</v>
      </c>
      <c r="C1" s="265" t="s">
        <v>187</v>
      </c>
      <c r="D1" s="265" t="s">
        <v>188</v>
      </c>
      <c r="E1" s="265" t="s">
        <v>189</v>
      </c>
    </row>
    <row r="2" spans="1:9">
      <c r="A2" s="267" t="s">
        <v>190</v>
      </c>
      <c r="B2" s="268" t="s">
        <v>15</v>
      </c>
      <c r="C2" s="268" t="s">
        <v>15</v>
      </c>
      <c r="D2" s="268" t="s">
        <v>15</v>
      </c>
      <c r="E2" s="269" t="s">
        <v>15</v>
      </c>
      <c r="F2" s="270"/>
    </row>
    <row r="3" spans="1:9">
      <c r="A3" s="271" t="s">
        <v>60</v>
      </c>
      <c r="B3" s="272">
        <v>88190</v>
      </c>
      <c r="C3" s="273">
        <v>97489</v>
      </c>
      <c r="D3" s="274">
        <v>121717</v>
      </c>
      <c r="E3" s="275">
        <v>124617</v>
      </c>
      <c r="F3" s="276" t="s">
        <v>49</v>
      </c>
      <c r="H3" s="277"/>
      <c r="I3" s="278"/>
    </row>
    <row r="4" spans="1:9">
      <c r="A4" s="271" t="s">
        <v>61</v>
      </c>
      <c r="B4" s="272">
        <v>14932</v>
      </c>
      <c r="C4" s="273">
        <v>35313</v>
      </c>
      <c r="D4" s="274">
        <v>43762</v>
      </c>
      <c r="E4" s="275">
        <v>42876</v>
      </c>
      <c r="F4" s="276" t="s">
        <v>49</v>
      </c>
      <c r="H4" s="277"/>
      <c r="I4" s="278"/>
    </row>
    <row r="5" spans="1:9">
      <c r="A5" s="271" t="s">
        <v>62</v>
      </c>
      <c r="B5" s="272">
        <v>118746</v>
      </c>
      <c r="C5" s="273">
        <v>135181</v>
      </c>
      <c r="D5" s="274">
        <v>162649</v>
      </c>
      <c r="E5" s="275">
        <v>177659</v>
      </c>
      <c r="F5" s="276" t="s">
        <v>49</v>
      </c>
      <c r="H5" s="277"/>
      <c r="I5" s="278"/>
    </row>
    <row r="6" spans="1:9">
      <c r="A6" s="271" t="s">
        <v>63</v>
      </c>
      <c r="B6" s="272">
        <v>47469</v>
      </c>
      <c r="C6" s="273">
        <v>100658</v>
      </c>
      <c r="D6" s="274">
        <v>131743</v>
      </c>
      <c r="E6" s="275">
        <v>130896</v>
      </c>
      <c r="F6" s="276" t="s">
        <v>49</v>
      </c>
      <c r="H6" s="277"/>
      <c r="I6" s="278"/>
    </row>
    <row r="7" spans="1:9">
      <c r="A7" s="271" t="s">
        <v>64</v>
      </c>
      <c r="B7" s="272">
        <v>31626</v>
      </c>
      <c r="C7" s="273">
        <v>29128</v>
      </c>
      <c r="D7" s="274">
        <v>31171</v>
      </c>
      <c r="E7" s="275">
        <v>33235</v>
      </c>
      <c r="F7" s="276" t="s">
        <v>49</v>
      </c>
      <c r="H7" s="277"/>
      <c r="I7" s="278"/>
    </row>
    <row r="8" spans="1:9">
      <c r="A8" s="271" t="s">
        <v>65</v>
      </c>
      <c r="B8" s="279">
        <v>685129</v>
      </c>
      <c r="C8" s="280">
        <v>1236545</v>
      </c>
      <c r="D8" s="281">
        <v>1244671</v>
      </c>
      <c r="E8" s="282">
        <v>1476869</v>
      </c>
      <c r="F8" s="276" t="s">
        <v>50</v>
      </c>
      <c r="H8" s="277"/>
      <c r="I8" s="278"/>
    </row>
    <row r="9" spans="1:9">
      <c r="A9" s="271" t="s">
        <v>66</v>
      </c>
      <c r="B9" s="272">
        <v>142040</v>
      </c>
      <c r="C9" s="280">
        <v>179874</v>
      </c>
      <c r="D9" s="281">
        <v>288349</v>
      </c>
      <c r="E9" s="282">
        <v>332441</v>
      </c>
      <c r="F9" s="276" t="s">
        <v>51</v>
      </c>
      <c r="H9" s="277"/>
      <c r="I9" s="278"/>
    </row>
    <row r="10" spans="1:9">
      <c r="A10" s="271" t="s">
        <v>67</v>
      </c>
      <c r="B10" s="272">
        <v>108658</v>
      </c>
      <c r="C10" s="280">
        <v>75266</v>
      </c>
      <c r="D10" s="281">
        <v>75077</v>
      </c>
      <c r="E10" s="282">
        <v>77878</v>
      </c>
      <c r="F10" s="276" t="s">
        <v>104</v>
      </c>
      <c r="H10" s="277"/>
      <c r="I10" s="278"/>
    </row>
    <row r="11" spans="1:9">
      <c r="A11" s="271" t="s">
        <v>68</v>
      </c>
      <c r="B11" s="272">
        <v>4105</v>
      </c>
      <c r="C11" s="280">
        <v>5437</v>
      </c>
      <c r="D11" s="281">
        <v>10861</v>
      </c>
      <c r="E11" s="282">
        <v>11821</v>
      </c>
      <c r="F11" s="276" t="s">
        <v>104</v>
      </c>
      <c r="H11" s="277"/>
      <c r="I11" s="278"/>
    </row>
    <row r="12" spans="1:9">
      <c r="A12" s="271" t="s">
        <v>69</v>
      </c>
      <c r="B12" s="272">
        <v>6450801</v>
      </c>
      <c r="C12" s="280">
        <v>6381801</v>
      </c>
      <c r="D12" s="281">
        <v>7133773</v>
      </c>
      <c r="E12" s="282">
        <v>8574727</v>
      </c>
      <c r="F12" s="276" t="s">
        <v>104</v>
      </c>
      <c r="H12" s="277"/>
      <c r="I12" s="278"/>
    </row>
    <row r="13" spans="1:9">
      <c r="A13" s="271" t="s">
        <v>70</v>
      </c>
      <c r="B13" s="272">
        <v>51934</v>
      </c>
      <c r="C13" s="280">
        <v>63727</v>
      </c>
      <c r="D13" s="281">
        <v>91713</v>
      </c>
      <c r="E13" s="282">
        <v>101901</v>
      </c>
      <c r="F13" s="276" t="s">
        <v>104</v>
      </c>
      <c r="H13" s="277"/>
      <c r="I13" s="278"/>
    </row>
    <row r="14" spans="1:9">
      <c r="A14" s="271" t="s">
        <v>71</v>
      </c>
      <c r="B14" s="272">
        <v>1358</v>
      </c>
      <c r="C14" s="280">
        <v>3001</v>
      </c>
      <c r="D14" s="281">
        <v>3145</v>
      </c>
      <c r="E14" s="282">
        <v>6243</v>
      </c>
      <c r="F14" s="276" t="s">
        <v>104</v>
      </c>
      <c r="H14" s="277"/>
      <c r="I14" s="278"/>
    </row>
    <row r="15" spans="1:9">
      <c r="A15" s="271" t="s">
        <v>72</v>
      </c>
      <c r="B15" s="272">
        <v>1122301</v>
      </c>
      <c r="C15" s="280">
        <v>1544283</v>
      </c>
      <c r="D15" s="281">
        <v>1655082</v>
      </c>
      <c r="E15" s="282">
        <v>1423486</v>
      </c>
      <c r="F15" s="276" t="s">
        <v>104</v>
      </c>
      <c r="H15" s="277"/>
      <c r="I15" s="278"/>
    </row>
    <row r="16" spans="1:9">
      <c r="A16" s="271" t="s">
        <v>73</v>
      </c>
      <c r="B16" s="272">
        <v>220931</v>
      </c>
      <c r="C16" s="280">
        <v>228559</v>
      </c>
      <c r="D16" s="281">
        <v>235586</v>
      </c>
      <c r="E16" s="282">
        <v>259346</v>
      </c>
      <c r="F16" s="276" t="s">
        <v>53</v>
      </c>
      <c r="H16" s="277"/>
      <c r="I16" s="278"/>
    </row>
    <row r="17" spans="1:9">
      <c r="A17" s="271" t="s">
        <v>74</v>
      </c>
      <c r="B17" s="272">
        <v>89042</v>
      </c>
      <c r="C17" s="280">
        <v>77681</v>
      </c>
      <c r="D17" s="281">
        <v>90145</v>
      </c>
      <c r="E17" s="282">
        <v>96178</v>
      </c>
      <c r="F17" s="276" t="s">
        <v>53</v>
      </c>
      <c r="H17" s="277"/>
      <c r="I17" s="278"/>
    </row>
    <row r="18" spans="1:9">
      <c r="A18" s="271" t="s">
        <v>75</v>
      </c>
      <c r="B18" s="272">
        <v>468071</v>
      </c>
      <c r="C18" s="280">
        <v>445943</v>
      </c>
      <c r="D18" s="281">
        <v>519342</v>
      </c>
      <c r="E18" s="282">
        <v>585649</v>
      </c>
      <c r="F18" s="276" t="s">
        <v>53</v>
      </c>
      <c r="H18" s="277"/>
      <c r="I18" s="278"/>
    </row>
    <row r="19" spans="1:9">
      <c r="A19" s="271" t="s">
        <v>76</v>
      </c>
      <c r="B19" s="272">
        <v>14112</v>
      </c>
      <c r="C19" s="273">
        <v>14878</v>
      </c>
      <c r="D19" s="274">
        <v>14298</v>
      </c>
      <c r="E19" s="275">
        <v>15318</v>
      </c>
      <c r="F19" s="276" t="s">
        <v>53</v>
      </c>
      <c r="H19" s="277"/>
      <c r="I19" s="278"/>
    </row>
    <row r="20" spans="1:9">
      <c r="A20" s="271" t="s">
        <v>77</v>
      </c>
      <c r="B20" s="272">
        <v>335253</v>
      </c>
      <c r="C20" s="280">
        <v>421563</v>
      </c>
      <c r="D20" s="281">
        <v>527426</v>
      </c>
      <c r="E20" s="282">
        <v>690827</v>
      </c>
      <c r="F20" s="276" t="s">
        <v>103</v>
      </c>
      <c r="H20" s="277"/>
      <c r="I20" s="278"/>
    </row>
    <row r="21" spans="1:9">
      <c r="A21" s="271" t="s">
        <v>78</v>
      </c>
      <c r="B21" s="272">
        <v>1423589</v>
      </c>
      <c r="C21" s="280">
        <v>1815957</v>
      </c>
      <c r="D21" s="281">
        <v>2106063</v>
      </c>
      <c r="E21" s="282">
        <v>2458738</v>
      </c>
      <c r="F21" s="276" t="s">
        <v>103</v>
      </c>
      <c r="H21" s="277"/>
      <c r="I21" s="278"/>
    </row>
    <row r="22" spans="1:9">
      <c r="A22" s="271" t="s">
        <v>79</v>
      </c>
      <c r="B22" s="272">
        <v>1530851</v>
      </c>
      <c r="C22" s="280">
        <v>3047077</v>
      </c>
      <c r="D22" s="281">
        <v>4580046</v>
      </c>
      <c r="E22" s="282">
        <v>5351810</v>
      </c>
      <c r="F22" s="276" t="s">
        <v>103</v>
      </c>
      <c r="H22" s="277"/>
      <c r="I22" s="278"/>
    </row>
    <row r="23" spans="1:9">
      <c r="A23" s="271" t="s">
        <v>80</v>
      </c>
      <c r="B23" s="272">
        <v>326881</v>
      </c>
      <c r="C23" s="280">
        <v>471899</v>
      </c>
      <c r="D23" s="281">
        <v>847511</v>
      </c>
      <c r="E23" s="282">
        <v>1002134</v>
      </c>
      <c r="F23" s="276" t="s">
        <v>103</v>
      </c>
      <c r="H23" s="277"/>
      <c r="I23" s="278"/>
    </row>
    <row r="24" spans="1:9">
      <c r="A24" s="271" t="s">
        <v>81</v>
      </c>
      <c r="B24" s="272">
        <v>4566013</v>
      </c>
      <c r="C24" s="280">
        <v>5191499</v>
      </c>
      <c r="D24" s="281">
        <v>8365287</v>
      </c>
      <c r="E24" s="282">
        <v>8721363</v>
      </c>
      <c r="F24" s="276" t="s">
        <v>103</v>
      </c>
      <c r="H24" s="277"/>
      <c r="I24" s="278"/>
    </row>
    <row r="25" spans="1:9">
      <c r="A25" s="271" t="s">
        <v>83</v>
      </c>
      <c r="B25" s="272">
        <v>723026</v>
      </c>
      <c r="C25" s="280">
        <v>1220283</v>
      </c>
      <c r="D25" s="281">
        <v>1582491</v>
      </c>
      <c r="E25" s="282">
        <v>1972474</v>
      </c>
      <c r="F25" s="276" t="s">
        <v>103</v>
      </c>
      <c r="H25" s="277"/>
      <c r="I25" s="278"/>
    </row>
    <row r="26" spans="1:9">
      <c r="A26" s="271" t="s">
        <v>84</v>
      </c>
      <c r="B26" s="272">
        <v>331823</v>
      </c>
      <c r="C26" s="280">
        <v>404081</v>
      </c>
      <c r="D26" s="281">
        <v>475942</v>
      </c>
      <c r="E26" s="282">
        <v>471466</v>
      </c>
      <c r="F26" s="276" t="s">
        <v>55</v>
      </c>
      <c r="H26" s="277"/>
      <c r="I26" s="278"/>
    </row>
    <row r="27" spans="1:9">
      <c r="A27" s="271" t="s">
        <v>85</v>
      </c>
      <c r="B27" s="272">
        <v>7694498</v>
      </c>
      <c r="C27" s="280">
        <v>8838099</v>
      </c>
      <c r="D27" s="281">
        <v>9625071</v>
      </c>
      <c r="E27" s="282">
        <v>10824111</v>
      </c>
      <c r="F27" s="276" t="s">
        <v>55</v>
      </c>
      <c r="H27" s="278"/>
      <c r="I27" s="278"/>
    </row>
    <row r="28" spans="1:9">
      <c r="A28" s="271" t="s">
        <v>86</v>
      </c>
      <c r="B28" s="272">
        <v>810754</v>
      </c>
      <c r="C28" s="280">
        <v>3267836</v>
      </c>
      <c r="D28" s="281">
        <v>3520078</v>
      </c>
      <c r="E28" s="282">
        <v>3791431</v>
      </c>
      <c r="F28" s="276" t="s">
        <v>56</v>
      </c>
      <c r="H28" s="277"/>
      <c r="I28" s="278"/>
    </row>
    <row r="29" spans="1:9">
      <c r="A29" s="271" t="s">
        <v>87</v>
      </c>
      <c r="B29" s="272">
        <v>102199</v>
      </c>
      <c r="C29" s="280">
        <v>125489</v>
      </c>
      <c r="D29" s="281">
        <v>120233</v>
      </c>
      <c r="E29" s="282">
        <v>90833</v>
      </c>
      <c r="F29" s="276" t="s">
        <v>56</v>
      </c>
      <c r="H29" s="277"/>
      <c r="I29" s="278"/>
    </row>
    <row r="30" spans="1:9">
      <c r="A30" s="271" t="s">
        <v>88</v>
      </c>
      <c r="B30" s="272">
        <v>1097072</v>
      </c>
      <c r="C30" s="280">
        <v>1134478</v>
      </c>
      <c r="D30" s="281">
        <v>1287135</v>
      </c>
      <c r="E30" s="282">
        <v>1396636</v>
      </c>
      <c r="F30" s="276" t="s">
        <v>56</v>
      </c>
      <c r="H30" s="277"/>
      <c r="I30" s="278"/>
    </row>
    <row r="31" spans="1:9">
      <c r="A31" s="271" t="s">
        <v>89</v>
      </c>
      <c r="B31" s="272">
        <v>37896</v>
      </c>
      <c r="C31" s="280">
        <v>29480</v>
      </c>
      <c r="D31" s="281">
        <v>27254</v>
      </c>
      <c r="E31" s="282">
        <v>28456</v>
      </c>
      <c r="F31" s="276" t="s">
        <v>56</v>
      </c>
      <c r="H31" s="277"/>
      <c r="I31" s="278"/>
    </row>
    <row r="32" spans="1:9">
      <c r="A32" s="271" t="s">
        <v>90</v>
      </c>
      <c r="B32" s="272">
        <v>149731</v>
      </c>
      <c r="C32" s="280">
        <v>162733</v>
      </c>
      <c r="D32" s="281">
        <v>196967</v>
      </c>
      <c r="E32" s="282">
        <v>212642</v>
      </c>
      <c r="F32" s="276" t="s">
        <v>57</v>
      </c>
      <c r="H32" s="277"/>
      <c r="I32" s="278"/>
    </row>
    <row r="33" spans="1:9">
      <c r="A33" s="271" t="s">
        <v>91</v>
      </c>
      <c r="B33" s="272">
        <v>503759</v>
      </c>
      <c r="C33" s="280">
        <v>1360253</v>
      </c>
      <c r="D33" s="281">
        <v>1522746</v>
      </c>
      <c r="E33" s="282">
        <v>1877126</v>
      </c>
      <c r="F33" s="276" t="s">
        <v>57</v>
      </c>
      <c r="H33" s="277"/>
      <c r="I33" s="278"/>
    </row>
    <row r="34" spans="1:9">
      <c r="A34" s="271" t="s">
        <v>93</v>
      </c>
      <c r="B34" s="272">
        <v>85334</v>
      </c>
      <c r="C34" s="280">
        <v>134223</v>
      </c>
      <c r="D34" s="281">
        <v>180625</v>
      </c>
      <c r="E34" s="282">
        <v>181306</v>
      </c>
      <c r="F34" s="276" t="s">
        <v>57</v>
      </c>
      <c r="H34" s="277"/>
      <c r="I34" s="278"/>
    </row>
    <row r="35" spans="1:9">
      <c r="A35" s="271" t="s">
        <v>94</v>
      </c>
      <c r="B35" s="272">
        <v>108664</v>
      </c>
      <c r="C35" s="280">
        <v>127135</v>
      </c>
      <c r="D35" s="281">
        <v>129839</v>
      </c>
      <c r="E35" s="282">
        <v>131277</v>
      </c>
      <c r="F35" s="276" t="s">
        <v>58</v>
      </c>
      <c r="H35" s="277"/>
      <c r="I35" s="278"/>
    </row>
    <row r="36" spans="1:9">
      <c r="A36" s="271" t="s">
        <v>95</v>
      </c>
      <c r="B36" s="272">
        <v>21664</v>
      </c>
      <c r="C36" s="280">
        <v>24049</v>
      </c>
      <c r="D36" s="281">
        <v>28422</v>
      </c>
      <c r="E36" s="282">
        <v>28882</v>
      </c>
      <c r="F36" s="276" t="s">
        <v>58</v>
      </c>
      <c r="H36" s="277"/>
      <c r="I36" s="278"/>
    </row>
    <row r="37" spans="1:9">
      <c r="A37" s="271" t="s">
        <v>96</v>
      </c>
      <c r="B37" s="272">
        <v>71935</v>
      </c>
      <c r="C37" s="280">
        <v>90462</v>
      </c>
      <c r="D37" s="281">
        <v>124465</v>
      </c>
      <c r="E37" s="282">
        <v>125848</v>
      </c>
      <c r="F37" s="276" t="s">
        <v>58</v>
      </c>
      <c r="H37" s="277"/>
      <c r="I37" s="278"/>
    </row>
    <row r="38" spans="1:9">
      <c r="A38" s="271" t="s">
        <v>97</v>
      </c>
      <c r="B38" s="272">
        <v>11150</v>
      </c>
      <c r="C38" s="280">
        <v>11840</v>
      </c>
      <c r="D38" s="281">
        <v>11675</v>
      </c>
      <c r="E38" s="282">
        <v>12090</v>
      </c>
      <c r="F38" s="276" t="s">
        <v>58</v>
      </c>
      <c r="H38" s="277"/>
      <c r="I38" s="278"/>
    </row>
    <row r="39" spans="1:9">
      <c r="A39" s="271" t="s">
        <v>98</v>
      </c>
      <c r="B39" s="272">
        <v>42699</v>
      </c>
      <c r="C39" s="273">
        <v>49444</v>
      </c>
      <c r="D39" s="274">
        <v>61663</v>
      </c>
      <c r="E39" s="275">
        <v>62326</v>
      </c>
      <c r="F39" s="276" t="s">
        <v>58</v>
      </c>
      <c r="H39" s="277"/>
      <c r="I39" s="278"/>
    </row>
    <row r="40" spans="1:9">
      <c r="A40" s="283" t="s">
        <v>99</v>
      </c>
      <c r="B40" s="284">
        <v>141153</v>
      </c>
      <c r="C40" s="285">
        <v>169413</v>
      </c>
      <c r="D40" s="286">
        <v>187266</v>
      </c>
      <c r="E40" s="287">
        <v>192152</v>
      </c>
      <c r="F40" s="288" t="s">
        <v>58</v>
      </c>
      <c r="H40" s="277"/>
      <c r="I40" s="278"/>
    </row>
    <row r="41" spans="1:9" ht="15" thickBot="1">
      <c r="A41" s="289" t="s">
        <v>191</v>
      </c>
      <c r="B41" s="290">
        <f>SUM(B3:B40)</f>
        <v>29775389</v>
      </c>
      <c r="C41" s="291">
        <f>SUM(C3:C40)</f>
        <v>38752057</v>
      </c>
      <c r="D41" s="290">
        <f>SUM(D3:D40)</f>
        <v>47361289</v>
      </c>
      <c r="E41" s="291">
        <f>SUM(E3:E40)</f>
        <v>53095068</v>
      </c>
      <c r="F41" s="292"/>
    </row>
    <row r="42" spans="1:9">
      <c r="B42" s="293"/>
      <c r="C42" s="294"/>
    </row>
  </sheetData>
  <conditionalFormatting sqref="H3:I40">
    <cfRule type="cellIs" dxfId="5" priority="1" operator="lessThan">
      <formula>0</formula>
    </cfRule>
  </conditionalFormatting>
  <pageMargins left="0.25" right="0.25" top="0.75" bottom="0.75" header="0.3" footer="0.3"/>
  <pageSetup scale="83"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4D893-1B17-4B0D-840F-E9758FC5F602}">
  <sheetPr>
    <pageSetUpPr fitToPage="1"/>
  </sheetPr>
  <dimension ref="A1:I42"/>
  <sheetViews>
    <sheetView zoomScaleNormal="100" workbookViewId="0"/>
  </sheetViews>
  <sheetFormatPr defaultColWidth="9.28515625" defaultRowHeight="14.25"/>
  <cols>
    <col min="1" max="1" width="46.7109375" style="296" bestFit="1" customWidth="1"/>
    <col min="2" max="4" width="15.7109375" style="320" customWidth="1"/>
    <col min="5" max="5" width="15.28515625" style="296" customWidth="1"/>
    <col min="6" max="6" width="15.7109375" style="296" customWidth="1"/>
    <col min="7" max="7" width="9.28515625" style="296"/>
    <col min="8" max="8" width="15.28515625" style="266" bestFit="1" customWidth="1"/>
    <col min="9" max="9" width="6" style="266" bestFit="1" customWidth="1"/>
    <col min="10" max="16384" width="9.28515625" style="296"/>
  </cols>
  <sheetData>
    <row r="1" spans="1:9" ht="15" thickBot="1">
      <c r="B1" s="265" t="s">
        <v>186</v>
      </c>
      <c r="C1" s="265" t="s">
        <v>187</v>
      </c>
      <c r="D1" s="265" t="s">
        <v>188</v>
      </c>
      <c r="E1" s="265" t="s">
        <v>189</v>
      </c>
    </row>
    <row r="2" spans="1:9">
      <c r="A2" s="297" t="s">
        <v>190</v>
      </c>
      <c r="B2" s="298" t="s">
        <v>16</v>
      </c>
      <c r="C2" s="298" t="s">
        <v>16</v>
      </c>
      <c r="D2" s="298" t="s">
        <v>16</v>
      </c>
      <c r="E2" s="299" t="s">
        <v>16</v>
      </c>
      <c r="F2" s="300"/>
    </row>
    <row r="3" spans="1:9">
      <c r="A3" s="301" t="s">
        <v>60</v>
      </c>
      <c r="B3" s="302">
        <v>29170</v>
      </c>
      <c r="C3" s="303">
        <v>30762</v>
      </c>
      <c r="D3" s="302">
        <v>32940</v>
      </c>
      <c r="E3" s="304">
        <v>31601</v>
      </c>
      <c r="F3" s="276" t="s">
        <v>49</v>
      </c>
      <c r="H3" s="277"/>
      <c r="I3" s="278"/>
    </row>
    <row r="4" spans="1:9">
      <c r="A4" s="301" t="s">
        <v>61</v>
      </c>
      <c r="B4" s="305">
        <v>3885</v>
      </c>
      <c r="C4" s="306">
        <v>7303</v>
      </c>
      <c r="D4" s="305">
        <v>7886</v>
      </c>
      <c r="E4" s="307">
        <v>7605</v>
      </c>
      <c r="F4" s="276" t="s">
        <v>49</v>
      </c>
      <c r="H4" s="277"/>
      <c r="I4" s="278"/>
    </row>
    <row r="5" spans="1:9">
      <c r="A5" s="301" t="s">
        <v>62</v>
      </c>
      <c r="B5" s="308">
        <v>39533</v>
      </c>
      <c r="C5" s="309">
        <v>44776</v>
      </c>
      <c r="D5" s="308">
        <v>46711</v>
      </c>
      <c r="E5" s="310">
        <v>48302</v>
      </c>
      <c r="F5" s="276" t="s">
        <v>49</v>
      </c>
      <c r="H5" s="277"/>
      <c r="I5" s="278"/>
    </row>
    <row r="6" spans="1:9">
      <c r="A6" s="301" t="s">
        <v>63</v>
      </c>
      <c r="B6" s="308">
        <v>35279</v>
      </c>
      <c r="C6" s="309">
        <v>40013</v>
      </c>
      <c r="D6" s="308">
        <v>47343</v>
      </c>
      <c r="E6" s="310">
        <v>44163</v>
      </c>
      <c r="F6" s="276" t="s">
        <v>49</v>
      </c>
      <c r="H6" s="277"/>
      <c r="I6" s="278"/>
    </row>
    <row r="7" spans="1:9">
      <c r="A7" s="301" t="s">
        <v>64</v>
      </c>
      <c r="B7" s="308">
        <v>8307</v>
      </c>
      <c r="C7" s="309">
        <v>7979</v>
      </c>
      <c r="D7" s="308">
        <v>8170</v>
      </c>
      <c r="E7" s="310">
        <v>8168</v>
      </c>
      <c r="F7" s="276" t="s">
        <v>49</v>
      </c>
      <c r="H7" s="277"/>
      <c r="I7" s="278"/>
    </row>
    <row r="8" spans="1:9">
      <c r="A8" s="301" t="s">
        <v>65</v>
      </c>
      <c r="B8" s="308">
        <v>103960</v>
      </c>
      <c r="C8" s="309">
        <v>94012</v>
      </c>
      <c r="D8" s="308">
        <v>113603</v>
      </c>
      <c r="E8" s="310">
        <v>128069</v>
      </c>
      <c r="F8" s="276" t="s">
        <v>50</v>
      </c>
      <c r="H8" s="277"/>
      <c r="I8" s="278"/>
    </row>
    <row r="9" spans="1:9">
      <c r="A9" s="301" t="s">
        <v>66</v>
      </c>
      <c r="B9" s="308">
        <v>40798</v>
      </c>
      <c r="C9" s="309">
        <v>40268</v>
      </c>
      <c r="D9" s="308">
        <v>37181</v>
      </c>
      <c r="E9" s="310">
        <v>38032</v>
      </c>
      <c r="F9" s="276" t="s">
        <v>51</v>
      </c>
      <c r="H9" s="277"/>
      <c r="I9" s="278"/>
    </row>
    <row r="10" spans="1:9">
      <c r="A10" s="301" t="s">
        <v>67</v>
      </c>
      <c r="B10" s="305">
        <v>20267</v>
      </c>
      <c r="C10" s="306">
        <v>21618</v>
      </c>
      <c r="D10" s="305">
        <v>22410</v>
      </c>
      <c r="E10" s="307">
        <v>24727.8</v>
      </c>
      <c r="F10" s="276" t="s">
        <v>104</v>
      </c>
      <c r="H10" s="277"/>
      <c r="I10" s="278"/>
    </row>
    <row r="11" spans="1:9">
      <c r="A11" s="301" t="s">
        <v>68</v>
      </c>
      <c r="B11" s="308">
        <v>3060</v>
      </c>
      <c r="C11" s="309">
        <v>3090</v>
      </c>
      <c r="D11" s="308">
        <v>3108</v>
      </c>
      <c r="E11" s="310">
        <v>2826</v>
      </c>
      <c r="F11" s="276" t="s">
        <v>104</v>
      </c>
      <c r="H11" s="277"/>
      <c r="I11" s="278"/>
    </row>
    <row r="12" spans="1:9">
      <c r="A12" s="301" t="s">
        <v>69</v>
      </c>
      <c r="B12" s="308">
        <v>971392</v>
      </c>
      <c r="C12" s="309">
        <v>886831</v>
      </c>
      <c r="D12" s="308">
        <v>955047</v>
      </c>
      <c r="E12" s="310">
        <v>1002985.3500000001</v>
      </c>
      <c r="F12" s="276" t="s">
        <v>104</v>
      </c>
      <c r="H12" s="277"/>
      <c r="I12" s="278"/>
    </row>
    <row r="13" spans="1:9">
      <c r="A13" s="301" t="s">
        <v>70</v>
      </c>
      <c r="B13" s="308">
        <v>20410</v>
      </c>
      <c r="C13" s="309">
        <v>20345</v>
      </c>
      <c r="D13" s="308">
        <v>20260</v>
      </c>
      <c r="E13" s="310">
        <v>20119</v>
      </c>
      <c r="F13" s="276" t="s">
        <v>104</v>
      </c>
      <c r="H13" s="277"/>
      <c r="I13" s="278"/>
    </row>
    <row r="14" spans="1:9">
      <c r="A14" s="301" t="s">
        <v>71</v>
      </c>
      <c r="B14" s="308">
        <v>1342</v>
      </c>
      <c r="C14" s="309">
        <v>880</v>
      </c>
      <c r="D14" s="308">
        <v>502</v>
      </c>
      <c r="E14" s="310">
        <v>3135</v>
      </c>
      <c r="F14" s="276" t="s">
        <v>104</v>
      </c>
      <c r="H14" s="277"/>
      <c r="I14" s="278"/>
    </row>
    <row r="15" spans="1:9">
      <c r="A15" s="301" t="s">
        <v>72</v>
      </c>
      <c r="B15" s="308">
        <v>78393</v>
      </c>
      <c r="C15" s="309">
        <v>79332</v>
      </c>
      <c r="D15" s="308">
        <v>71283</v>
      </c>
      <c r="E15" s="310">
        <v>68607</v>
      </c>
      <c r="F15" s="276" t="s">
        <v>104</v>
      </c>
      <c r="H15" s="277"/>
      <c r="I15" s="278"/>
    </row>
    <row r="16" spans="1:9">
      <c r="A16" s="301" t="s">
        <v>73</v>
      </c>
      <c r="B16" s="308">
        <v>38330</v>
      </c>
      <c r="C16" s="309">
        <v>35273</v>
      </c>
      <c r="D16" s="308">
        <v>29937</v>
      </c>
      <c r="E16" s="310">
        <v>34940</v>
      </c>
      <c r="F16" s="276" t="s">
        <v>53</v>
      </c>
      <c r="H16" s="277"/>
      <c r="I16" s="278"/>
    </row>
    <row r="17" spans="1:9">
      <c r="A17" s="301" t="s">
        <v>74</v>
      </c>
      <c r="B17" s="308">
        <v>13590</v>
      </c>
      <c r="C17" s="309">
        <v>11837</v>
      </c>
      <c r="D17" s="308">
        <v>11560</v>
      </c>
      <c r="E17" s="310">
        <v>11193</v>
      </c>
      <c r="F17" s="276" t="s">
        <v>53</v>
      </c>
      <c r="H17" s="277"/>
      <c r="I17" s="278"/>
    </row>
    <row r="18" spans="1:9">
      <c r="A18" s="301" t="s">
        <v>75</v>
      </c>
      <c r="B18" s="308">
        <v>75366</v>
      </c>
      <c r="C18" s="309">
        <v>74332</v>
      </c>
      <c r="D18" s="308">
        <v>79599</v>
      </c>
      <c r="E18" s="310">
        <v>80007.260000000009</v>
      </c>
      <c r="F18" s="276" t="s">
        <v>53</v>
      </c>
      <c r="H18" s="277"/>
      <c r="I18" s="278"/>
    </row>
    <row r="19" spans="1:9">
      <c r="A19" s="301" t="s">
        <v>76</v>
      </c>
      <c r="B19" s="308">
        <v>3011</v>
      </c>
      <c r="C19" s="309">
        <v>3043</v>
      </c>
      <c r="D19" s="308">
        <v>3028</v>
      </c>
      <c r="E19" s="310">
        <v>3004</v>
      </c>
      <c r="F19" s="276" t="s">
        <v>53</v>
      </c>
      <c r="H19" s="277"/>
      <c r="I19" s="278"/>
    </row>
    <row r="20" spans="1:9">
      <c r="A20" s="301" t="s">
        <v>77</v>
      </c>
      <c r="B20" s="311">
        <f>88248+8353</f>
        <v>96601</v>
      </c>
      <c r="C20" s="311">
        <f>88663+10112</f>
        <v>98775</v>
      </c>
      <c r="D20" s="311">
        <f>108286+10206</f>
        <v>118492</v>
      </c>
      <c r="E20" s="312">
        <f>160073+12922.92</f>
        <v>172995.92</v>
      </c>
      <c r="F20" s="276" t="s">
        <v>103</v>
      </c>
      <c r="H20" s="277"/>
      <c r="I20" s="278"/>
    </row>
    <row r="21" spans="1:9">
      <c r="A21" s="301" t="s">
        <v>78</v>
      </c>
      <c r="B21" s="308">
        <v>182007</v>
      </c>
      <c r="C21" s="309">
        <v>204460</v>
      </c>
      <c r="D21" s="308">
        <v>216250</v>
      </c>
      <c r="E21" s="310">
        <v>230883</v>
      </c>
      <c r="F21" s="276" t="s">
        <v>103</v>
      </c>
      <c r="H21" s="277"/>
      <c r="I21" s="278"/>
    </row>
    <row r="22" spans="1:9">
      <c r="A22" s="301" t="s">
        <v>79</v>
      </c>
      <c r="B22" s="308">
        <v>211975</v>
      </c>
      <c r="C22" s="309">
        <v>276476</v>
      </c>
      <c r="D22" s="308">
        <v>310607</v>
      </c>
      <c r="E22" s="310">
        <v>308856.31</v>
      </c>
      <c r="F22" s="276" t="s">
        <v>103</v>
      </c>
      <c r="H22" s="277"/>
      <c r="I22" s="278"/>
    </row>
    <row r="23" spans="1:9">
      <c r="A23" s="301" t="s">
        <v>80</v>
      </c>
      <c r="B23" s="308">
        <v>34280</v>
      </c>
      <c r="C23" s="309">
        <v>35046</v>
      </c>
      <c r="D23" s="308">
        <v>34638</v>
      </c>
      <c r="E23" s="310">
        <v>34526</v>
      </c>
      <c r="F23" s="276" t="s">
        <v>103</v>
      </c>
      <c r="H23" s="277"/>
      <c r="I23" s="278"/>
    </row>
    <row r="24" spans="1:9">
      <c r="A24" s="301" t="s">
        <v>81</v>
      </c>
      <c r="B24" s="311">
        <f>775301+2087</f>
        <v>777388</v>
      </c>
      <c r="C24" s="311">
        <f>840428+2521</f>
        <v>842949</v>
      </c>
      <c r="D24" s="308">
        <v>848788</v>
      </c>
      <c r="E24" s="310">
        <v>819202.73699999996</v>
      </c>
      <c r="F24" s="276" t="s">
        <v>103</v>
      </c>
      <c r="H24" s="277"/>
      <c r="I24" s="278"/>
    </row>
    <row r="25" spans="1:9">
      <c r="A25" s="301" t="s">
        <v>83</v>
      </c>
      <c r="B25" s="311">
        <f>152489+(152489*0.49)</f>
        <v>227208.61</v>
      </c>
      <c r="C25" s="311">
        <f>147080+71220</f>
        <v>218300</v>
      </c>
      <c r="D25" s="311">
        <f>142232+57989</f>
        <v>200221</v>
      </c>
      <c r="E25" s="312">
        <f>174456.2+62202</f>
        <v>236658.2</v>
      </c>
      <c r="F25" s="276" t="s">
        <v>103</v>
      </c>
      <c r="H25" s="277"/>
      <c r="I25" s="278"/>
    </row>
    <row r="26" spans="1:9">
      <c r="A26" s="301" t="s">
        <v>84</v>
      </c>
      <c r="B26" s="308">
        <v>46966</v>
      </c>
      <c r="C26" s="309">
        <v>47286</v>
      </c>
      <c r="D26" s="308">
        <v>43849</v>
      </c>
      <c r="E26" s="310">
        <v>41575</v>
      </c>
      <c r="F26" s="276" t="s">
        <v>55</v>
      </c>
      <c r="H26" s="277"/>
      <c r="I26" s="278"/>
    </row>
    <row r="27" spans="1:9">
      <c r="A27" s="301" t="s">
        <v>85</v>
      </c>
      <c r="B27" s="308">
        <v>606539</v>
      </c>
      <c r="C27" s="309">
        <v>589217</v>
      </c>
      <c r="D27" s="313">
        <f>582073+1652</f>
        <v>583725</v>
      </c>
      <c r="E27" s="312">
        <f>631194+2456.79</f>
        <v>633650.79</v>
      </c>
      <c r="F27" s="276" t="s">
        <v>55</v>
      </c>
      <c r="H27" s="278"/>
      <c r="I27" s="278"/>
    </row>
    <row r="28" spans="1:9">
      <c r="A28" s="301" t="s">
        <v>86</v>
      </c>
      <c r="B28" s="308">
        <v>104803</v>
      </c>
      <c r="C28" s="309">
        <v>100136</v>
      </c>
      <c r="D28" s="308">
        <v>92885</v>
      </c>
      <c r="E28" s="310">
        <v>99331.900000000009</v>
      </c>
      <c r="F28" s="276" t="s">
        <v>56</v>
      </c>
      <c r="H28" s="277"/>
      <c r="I28" s="278"/>
    </row>
    <row r="29" spans="1:9">
      <c r="A29" s="301" t="s">
        <v>87</v>
      </c>
      <c r="B29" s="308">
        <v>30471</v>
      </c>
      <c r="C29" s="309">
        <v>31063</v>
      </c>
      <c r="D29" s="308">
        <v>32095</v>
      </c>
      <c r="E29" s="310">
        <v>36673.339999999997</v>
      </c>
      <c r="F29" s="276" t="s">
        <v>56</v>
      </c>
      <c r="H29" s="277"/>
      <c r="I29" s="278"/>
    </row>
    <row r="30" spans="1:9">
      <c r="A30" s="301" t="s">
        <v>88</v>
      </c>
      <c r="B30" s="308">
        <v>145560</v>
      </c>
      <c r="C30" s="309">
        <v>155800</v>
      </c>
      <c r="D30" s="308">
        <v>141516</v>
      </c>
      <c r="E30" s="310">
        <v>143067</v>
      </c>
      <c r="F30" s="276" t="s">
        <v>56</v>
      </c>
      <c r="H30" s="277"/>
      <c r="I30" s="278"/>
    </row>
    <row r="31" spans="1:9">
      <c r="A31" s="301" t="s">
        <v>89</v>
      </c>
      <c r="B31" s="308">
        <v>18342</v>
      </c>
      <c r="C31" s="309">
        <v>19090</v>
      </c>
      <c r="D31" s="308">
        <v>18878</v>
      </c>
      <c r="E31" s="310">
        <v>18710.25</v>
      </c>
      <c r="F31" s="276" t="s">
        <v>56</v>
      </c>
      <c r="H31" s="277"/>
      <c r="I31" s="278"/>
    </row>
    <row r="32" spans="1:9">
      <c r="A32" s="301" t="s">
        <v>90</v>
      </c>
      <c r="B32" s="308">
        <v>33407</v>
      </c>
      <c r="C32" s="309">
        <v>36937</v>
      </c>
      <c r="D32" s="308">
        <v>37781</v>
      </c>
      <c r="E32" s="310">
        <v>36534.629999999997</v>
      </c>
      <c r="F32" s="276" t="s">
        <v>57</v>
      </c>
      <c r="H32" s="277"/>
      <c r="I32" s="278"/>
    </row>
    <row r="33" spans="1:9">
      <c r="A33" s="301" t="s">
        <v>91</v>
      </c>
      <c r="B33" s="308">
        <v>77225</v>
      </c>
      <c r="C33" s="309">
        <v>74536</v>
      </c>
      <c r="D33" s="308">
        <v>72014</v>
      </c>
      <c r="E33" s="310">
        <v>76614</v>
      </c>
      <c r="F33" s="276" t="s">
        <v>57</v>
      </c>
      <c r="H33" s="277"/>
      <c r="I33" s="278"/>
    </row>
    <row r="34" spans="1:9">
      <c r="A34" s="301" t="s">
        <v>93</v>
      </c>
      <c r="B34" s="308">
        <v>16508</v>
      </c>
      <c r="C34" s="309">
        <v>17310</v>
      </c>
      <c r="D34" s="308">
        <v>20219</v>
      </c>
      <c r="E34" s="310">
        <v>25268</v>
      </c>
      <c r="F34" s="276" t="s">
        <v>57</v>
      </c>
      <c r="H34" s="277"/>
      <c r="I34" s="278"/>
    </row>
    <row r="35" spans="1:9">
      <c r="A35" s="301" t="s">
        <v>94</v>
      </c>
      <c r="B35" s="308">
        <v>55888</v>
      </c>
      <c r="C35" s="309">
        <v>60586</v>
      </c>
      <c r="D35" s="308">
        <v>61652</v>
      </c>
      <c r="E35" s="310">
        <v>61710.71</v>
      </c>
      <c r="F35" s="276" t="s">
        <v>58</v>
      </c>
      <c r="H35" s="277"/>
      <c r="I35" s="278"/>
    </row>
    <row r="36" spans="1:9">
      <c r="A36" s="301" t="s">
        <v>95</v>
      </c>
      <c r="B36" s="308">
        <v>15493</v>
      </c>
      <c r="C36" s="309">
        <v>15570</v>
      </c>
      <c r="D36" s="308">
        <v>15538</v>
      </c>
      <c r="E36" s="310">
        <v>15534</v>
      </c>
      <c r="F36" s="276" t="s">
        <v>58</v>
      </c>
      <c r="H36" s="277"/>
      <c r="I36" s="278"/>
    </row>
    <row r="37" spans="1:9">
      <c r="A37" s="301" t="s">
        <v>96</v>
      </c>
      <c r="B37" s="308">
        <v>34844</v>
      </c>
      <c r="C37" s="309">
        <v>39833</v>
      </c>
      <c r="D37" s="308">
        <v>46573</v>
      </c>
      <c r="E37" s="310">
        <v>46101.396664300002</v>
      </c>
      <c r="F37" s="276" t="s">
        <v>58</v>
      </c>
      <c r="H37" s="277"/>
      <c r="I37" s="278"/>
    </row>
    <row r="38" spans="1:9">
      <c r="A38" s="301" t="s">
        <v>97</v>
      </c>
      <c r="B38" s="308">
        <v>5393</v>
      </c>
      <c r="C38" s="309">
        <v>5390</v>
      </c>
      <c r="D38" s="308">
        <v>5322</v>
      </c>
      <c r="E38" s="310">
        <v>5064</v>
      </c>
      <c r="F38" s="276" t="s">
        <v>58</v>
      </c>
      <c r="H38" s="277"/>
      <c r="I38" s="278"/>
    </row>
    <row r="39" spans="1:9">
      <c r="A39" s="301" t="s">
        <v>98</v>
      </c>
      <c r="B39" s="308">
        <v>22816</v>
      </c>
      <c r="C39" s="309">
        <v>18141</v>
      </c>
      <c r="D39" s="308">
        <v>18247</v>
      </c>
      <c r="E39" s="310">
        <v>18443</v>
      </c>
      <c r="F39" s="276" t="s">
        <v>58</v>
      </c>
      <c r="H39" s="277"/>
      <c r="I39" s="278"/>
    </row>
    <row r="40" spans="1:9">
      <c r="A40" s="314" t="s">
        <v>99</v>
      </c>
      <c r="B40" s="315">
        <v>54180</v>
      </c>
      <c r="C40" s="316">
        <v>60519</v>
      </c>
      <c r="D40" s="315">
        <v>63759</v>
      </c>
      <c r="E40" s="317">
        <v>63064.05</v>
      </c>
      <c r="F40" s="288" t="s">
        <v>58</v>
      </c>
      <c r="H40" s="277"/>
      <c r="I40" s="278"/>
    </row>
    <row r="41" spans="1:9" ht="15" thickBot="1">
      <c r="A41" s="318" t="s">
        <v>191</v>
      </c>
      <c r="B41" s="290">
        <f>SUM(B3:B40)</f>
        <v>4283987.6099999994</v>
      </c>
      <c r="C41" s="291">
        <f>SUM(C3:C40)</f>
        <v>4349114</v>
      </c>
      <c r="D41" s="290">
        <f>SUM(D3:D40)</f>
        <v>4473617</v>
      </c>
      <c r="E41" s="291">
        <f>SUM(E3:E40)</f>
        <v>4681948.6436643004</v>
      </c>
      <c r="F41" s="292"/>
    </row>
    <row r="42" spans="1:9">
      <c r="B42" s="319"/>
      <c r="C42" s="294"/>
    </row>
  </sheetData>
  <conditionalFormatting sqref="H3:I40">
    <cfRule type="cellIs" dxfId="4" priority="1" operator="lessThan">
      <formula>0</formula>
    </cfRule>
  </conditionalFormatting>
  <pageMargins left="0.25" right="0.25" top="0.75" bottom="0.75" header="0.3" footer="0.3"/>
  <pageSetup scale="83"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DE33F-E30D-4C4D-86DC-206BB43C7B11}">
  <sheetPr>
    <pageSetUpPr fitToPage="1"/>
  </sheetPr>
  <dimension ref="A1:I42"/>
  <sheetViews>
    <sheetView zoomScaleNormal="100" workbookViewId="0"/>
  </sheetViews>
  <sheetFormatPr defaultColWidth="9.28515625" defaultRowHeight="14.25"/>
  <cols>
    <col min="1" max="1" width="46.7109375" style="296" bestFit="1" customWidth="1"/>
    <col min="2" max="4" width="15.7109375" style="320" customWidth="1"/>
    <col min="5" max="5" width="14.5703125" style="296" customWidth="1"/>
    <col min="6" max="6" width="16.28515625" style="296" customWidth="1"/>
    <col min="7" max="7" width="10.7109375" style="296" customWidth="1"/>
    <col min="8" max="8" width="18.5703125" style="266" customWidth="1"/>
    <col min="9" max="9" width="6.140625" style="266" customWidth="1"/>
    <col min="10" max="16384" width="9.28515625" style="296"/>
  </cols>
  <sheetData>
    <row r="1" spans="1:9" ht="15" thickBot="1">
      <c r="B1" s="265" t="s">
        <v>186</v>
      </c>
      <c r="C1" s="265" t="s">
        <v>187</v>
      </c>
      <c r="D1" s="265" t="s">
        <v>188</v>
      </c>
      <c r="E1" s="265" t="s">
        <v>189</v>
      </c>
    </row>
    <row r="2" spans="1:9">
      <c r="A2" s="321" t="s">
        <v>190</v>
      </c>
      <c r="B2" s="322" t="s">
        <v>17</v>
      </c>
      <c r="C2" s="322" t="s">
        <v>17</v>
      </c>
      <c r="D2" s="322" t="s">
        <v>17</v>
      </c>
      <c r="E2" s="323" t="s">
        <v>17</v>
      </c>
      <c r="F2" s="324"/>
    </row>
    <row r="3" spans="1:9" s="264" customFormat="1">
      <c r="A3" s="271" t="s">
        <v>60</v>
      </c>
      <c r="B3" s="302">
        <v>598768</v>
      </c>
      <c r="C3" s="303">
        <v>634178</v>
      </c>
      <c r="D3" s="302">
        <v>692104</v>
      </c>
      <c r="E3" s="304">
        <v>650766</v>
      </c>
      <c r="F3" s="276" t="s">
        <v>49</v>
      </c>
      <c r="H3" s="277"/>
      <c r="I3" s="278"/>
    </row>
    <row r="4" spans="1:9" s="264" customFormat="1">
      <c r="A4" s="271" t="s">
        <v>61</v>
      </c>
      <c r="B4" s="305">
        <v>46763</v>
      </c>
      <c r="C4" s="306">
        <v>84107</v>
      </c>
      <c r="D4" s="305">
        <v>94333</v>
      </c>
      <c r="E4" s="307">
        <v>91473</v>
      </c>
      <c r="F4" s="276" t="s">
        <v>49</v>
      </c>
      <c r="H4" s="277"/>
      <c r="I4" s="278"/>
    </row>
    <row r="5" spans="1:9" s="264" customFormat="1">
      <c r="A5" s="271" t="s">
        <v>62</v>
      </c>
      <c r="B5" s="308">
        <v>384307</v>
      </c>
      <c r="C5" s="309">
        <v>440288</v>
      </c>
      <c r="D5" s="308">
        <v>490148</v>
      </c>
      <c r="E5" s="310">
        <v>522054</v>
      </c>
      <c r="F5" s="276" t="s">
        <v>49</v>
      </c>
      <c r="H5" s="277"/>
      <c r="I5" s="278"/>
    </row>
    <row r="6" spans="1:9" s="264" customFormat="1">
      <c r="A6" s="271" t="s">
        <v>63</v>
      </c>
      <c r="B6" s="308">
        <v>550975</v>
      </c>
      <c r="C6" s="309">
        <v>639628</v>
      </c>
      <c r="D6" s="308">
        <v>800372</v>
      </c>
      <c r="E6" s="310">
        <v>745438</v>
      </c>
      <c r="F6" s="276" t="s">
        <v>49</v>
      </c>
      <c r="H6" s="277"/>
      <c r="I6" s="278"/>
    </row>
    <row r="7" spans="1:9" s="264" customFormat="1">
      <c r="A7" s="271" t="s">
        <v>64</v>
      </c>
      <c r="B7" s="308">
        <v>129731</v>
      </c>
      <c r="C7" s="309">
        <v>129480</v>
      </c>
      <c r="D7" s="308">
        <v>132943</v>
      </c>
      <c r="E7" s="310">
        <v>126970</v>
      </c>
      <c r="F7" s="276" t="s">
        <v>49</v>
      </c>
      <c r="H7" s="277"/>
      <c r="I7" s="278"/>
    </row>
    <row r="8" spans="1:9" s="264" customFormat="1">
      <c r="A8" s="271" t="s">
        <v>65</v>
      </c>
      <c r="B8" s="308">
        <v>1043369</v>
      </c>
      <c r="C8" s="309">
        <v>1184761</v>
      </c>
      <c r="D8" s="308">
        <v>1242786</v>
      </c>
      <c r="E8" s="310">
        <v>1380275</v>
      </c>
      <c r="F8" s="276" t="s">
        <v>50</v>
      </c>
      <c r="H8" s="277"/>
      <c r="I8" s="278"/>
    </row>
    <row r="9" spans="1:9" s="264" customFormat="1">
      <c r="A9" s="271" t="s">
        <v>66</v>
      </c>
      <c r="B9" s="308">
        <v>610784</v>
      </c>
      <c r="C9" s="309">
        <v>598250</v>
      </c>
      <c r="D9" s="308">
        <v>548622</v>
      </c>
      <c r="E9" s="310">
        <v>554895</v>
      </c>
      <c r="F9" s="276" t="s">
        <v>51</v>
      </c>
      <c r="H9" s="277"/>
      <c r="I9" s="278"/>
    </row>
    <row r="10" spans="1:9" s="264" customFormat="1">
      <c r="A10" s="271" t="s">
        <v>67</v>
      </c>
      <c r="B10" s="305">
        <v>368836</v>
      </c>
      <c r="C10" s="306">
        <v>415022</v>
      </c>
      <c r="D10" s="305">
        <v>442128</v>
      </c>
      <c r="E10" s="307">
        <v>463883</v>
      </c>
      <c r="F10" s="276" t="s">
        <v>104</v>
      </c>
      <c r="H10" s="277"/>
      <c r="I10" s="278"/>
    </row>
    <row r="11" spans="1:9" s="264" customFormat="1">
      <c r="A11" s="271" t="s">
        <v>68</v>
      </c>
      <c r="B11" s="308">
        <v>48608</v>
      </c>
      <c r="C11" s="309">
        <v>52366</v>
      </c>
      <c r="D11" s="308">
        <v>54991</v>
      </c>
      <c r="E11" s="310">
        <v>53914</v>
      </c>
      <c r="F11" s="276" t="s">
        <v>104</v>
      </c>
      <c r="H11" s="277"/>
      <c r="I11" s="278"/>
    </row>
    <row r="12" spans="1:9" s="264" customFormat="1">
      <c r="A12" s="271" t="s">
        <v>69</v>
      </c>
      <c r="B12" s="308">
        <v>13836191</v>
      </c>
      <c r="C12" s="309">
        <v>12904187</v>
      </c>
      <c r="D12" s="308">
        <v>13757219</v>
      </c>
      <c r="E12" s="310">
        <v>13608118.7366</v>
      </c>
      <c r="F12" s="276" t="s">
        <v>104</v>
      </c>
      <c r="H12" s="277"/>
      <c r="I12" s="278"/>
    </row>
    <row r="13" spans="1:9" s="264" customFormat="1">
      <c r="A13" s="271" t="s">
        <v>70</v>
      </c>
      <c r="B13" s="308">
        <v>463549</v>
      </c>
      <c r="C13" s="309">
        <v>483018</v>
      </c>
      <c r="D13" s="308">
        <v>510877</v>
      </c>
      <c r="E13" s="310">
        <v>529269</v>
      </c>
      <c r="F13" s="276" t="s">
        <v>104</v>
      </c>
      <c r="H13" s="277"/>
      <c r="I13" s="278"/>
    </row>
    <row r="14" spans="1:9" s="264" customFormat="1">
      <c r="A14" s="271" t="s">
        <v>71</v>
      </c>
      <c r="B14" s="308">
        <v>9510</v>
      </c>
      <c r="C14" s="309">
        <v>6777</v>
      </c>
      <c r="D14" s="308">
        <v>4641</v>
      </c>
      <c r="E14" s="310">
        <v>11686</v>
      </c>
      <c r="F14" s="276" t="s">
        <v>104</v>
      </c>
      <c r="H14" s="277"/>
      <c r="I14" s="278"/>
    </row>
    <row r="15" spans="1:9" s="264" customFormat="1">
      <c r="A15" s="271" t="s">
        <v>72</v>
      </c>
      <c r="B15" s="308">
        <v>1072707</v>
      </c>
      <c r="C15" s="309">
        <v>1099092</v>
      </c>
      <c r="D15" s="308">
        <v>1099660</v>
      </c>
      <c r="E15" s="310">
        <v>1127856</v>
      </c>
      <c r="F15" s="276" t="s">
        <v>104</v>
      </c>
      <c r="H15" s="277"/>
      <c r="I15" s="278"/>
    </row>
    <row r="16" spans="1:9" s="264" customFormat="1">
      <c r="A16" s="271" t="s">
        <v>73</v>
      </c>
      <c r="B16" s="308">
        <v>561833</v>
      </c>
      <c r="C16" s="309">
        <v>531990</v>
      </c>
      <c r="D16" s="308">
        <v>470807</v>
      </c>
      <c r="E16" s="310">
        <v>565576</v>
      </c>
      <c r="F16" s="276" t="s">
        <v>53</v>
      </c>
      <c r="H16" s="277"/>
      <c r="I16" s="278"/>
    </row>
    <row r="17" spans="1:9" s="264" customFormat="1">
      <c r="A17" s="271" t="s">
        <v>74</v>
      </c>
      <c r="B17" s="308">
        <v>188179</v>
      </c>
      <c r="C17" s="309">
        <v>174059</v>
      </c>
      <c r="D17" s="308">
        <v>171222</v>
      </c>
      <c r="E17" s="310">
        <v>168612</v>
      </c>
      <c r="F17" s="276" t="s">
        <v>53</v>
      </c>
      <c r="H17" s="277"/>
      <c r="I17" s="278"/>
    </row>
    <row r="18" spans="1:9" s="264" customFormat="1">
      <c r="A18" s="271" t="s">
        <v>75</v>
      </c>
      <c r="B18" s="308">
        <v>1070838</v>
      </c>
      <c r="C18" s="309">
        <v>1073547</v>
      </c>
      <c r="D18" s="308">
        <v>1150861</v>
      </c>
      <c r="E18" s="310">
        <v>1157573.97</v>
      </c>
      <c r="F18" s="276" t="s">
        <v>53</v>
      </c>
      <c r="H18" s="277"/>
      <c r="I18" s="278"/>
    </row>
    <row r="19" spans="1:9" s="264" customFormat="1">
      <c r="A19" s="271" t="s">
        <v>76</v>
      </c>
      <c r="B19" s="308">
        <v>49158</v>
      </c>
      <c r="C19" s="309">
        <v>48696</v>
      </c>
      <c r="D19" s="308">
        <v>48742</v>
      </c>
      <c r="E19" s="310">
        <v>50699</v>
      </c>
      <c r="F19" s="276" t="s">
        <v>53</v>
      </c>
      <c r="H19" s="277"/>
      <c r="I19" s="278"/>
    </row>
    <row r="20" spans="1:9" s="264" customFormat="1">
      <c r="A20" s="271" t="s">
        <v>77</v>
      </c>
      <c r="B20" s="311">
        <f>1735344+320678.5</f>
        <v>2056022.5</v>
      </c>
      <c r="C20" s="311">
        <f>1820398+427962.5</f>
        <v>2248360.5</v>
      </c>
      <c r="D20" s="311">
        <f>2090076+501367</f>
        <v>2591443</v>
      </c>
      <c r="E20" s="312">
        <f>3306565+587607</f>
        <v>3894172</v>
      </c>
      <c r="F20" s="276" t="s">
        <v>103</v>
      </c>
      <c r="H20" s="277"/>
      <c r="I20" s="278"/>
    </row>
    <row r="21" spans="1:9" s="264" customFormat="1">
      <c r="A21" s="271" t="s">
        <v>78</v>
      </c>
      <c r="B21" s="308">
        <v>1815035</v>
      </c>
      <c r="C21" s="309">
        <v>2083544</v>
      </c>
      <c r="D21" s="308">
        <v>2205880</v>
      </c>
      <c r="E21" s="310">
        <v>2329537</v>
      </c>
      <c r="F21" s="276" t="s">
        <v>103</v>
      </c>
      <c r="H21" s="277"/>
      <c r="I21" s="278"/>
    </row>
    <row r="22" spans="1:9" s="264" customFormat="1">
      <c r="A22" s="271" t="s">
        <v>79</v>
      </c>
      <c r="B22" s="308">
        <v>1902798</v>
      </c>
      <c r="C22" s="309">
        <v>2503129</v>
      </c>
      <c r="D22" s="308">
        <v>3036654</v>
      </c>
      <c r="E22" s="310">
        <v>2865159</v>
      </c>
      <c r="F22" s="276" t="s">
        <v>103</v>
      </c>
      <c r="H22" s="277"/>
      <c r="I22" s="278"/>
    </row>
    <row r="23" spans="1:9" s="264" customFormat="1">
      <c r="A23" s="271" t="s">
        <v>80</v>
      </c>
      <c r="B23" s="308">
        <v>439054</v>
      </c>
      <c r="C23" s="309">
        <v>434291</v>
      </c>
      <c r="D23" s="308">
        <v>439291</v>
      </c>
      <c r="E23" s="310">
        <v>434414</v>
      </c>
      <c r="F23" s="276" t="s">
        <v>103</v>
      </c>
      <c r="H23" s="277"/>
      <c r="I23" s="278"/>
    </row>
    <row r="24" spans="1:9" s="264" customFormat="1">
      <c r="A24" s="271" t="s">
        <v>81</v>
      </c>
      <c r="B24" s="311">
        <f>9967405+70604</f>
        <v>10038009</v>
      </c>
      <c r="C24" s="311">
        <f>10856360+85445</f>
        <v>10941805</v>
      </c>
      <c r="D24" s="308">
        <v>11068404</v>
      </c>
      <c r="E24" s="310">
        <v>10820543.213</v>
      </c>
      <c r="F24" s="276" t="s">
        <v>103</v>
      </c>
      <c r="H24" s="277"/>
      <c r="I24" s="278"/>
    </row>
    <row r="25" spans="1:9" s="264" customFormat="1">
      <c r="A25" s="271" t="s">
        <v>83</v>
      </c>
      <c r="B25" s="311">
        <f>3198061+(3198061*0.58)</f>
        <v>5052936.38</v>
      </c>
      <c r="C25" s="311">
        <f>3292747+1905553</f>
        <v>5198300</v>
      </c>
      <c r="D25" s="311">
        <f>3127398+1784701</f>
        <v>4912099</v>
      </c>
      <c r="E25" s="312">
        <f>3747819.65+1922948</f>
        <v>5670767.6500000004</v>
      </c>
      <c r="F25" s="276" t="s">
        <v>103</v>
      </c>
      <c r="H25" s="277"/>
      <c r="I25" s="278"/>
    </row>
    <row r="26" spans="1:9" s="264" customFormat="1">
      <c r="A26" s="271" t="s">
        <v>84</v>
      </c>
      <c r="B26" s="308">
        <v>549049</v>
      </c>
      <c r="C26" s="309">
        <v>554292</v>
      </c>
      <c r="D26" s="308">
        <v>553318</v>
      </c>
      <c r="E26" s="310">
        <v>539337</v>
      </c>
      <c r="F26" s="276" t="s">
        <v>55</v>
      </c>
      <c r="H26" s="277"/>
      <c r="I26" s="278"/>
    </row>
    <row r="27" spans="1:9" s="264" customFormat="1">
      <c r="A27" s="271" t="s">
        <v>85</v>
      </c>
      <c r="B27" s="308">
        <v>7290100</v>
      </c>
      <c r="C27" s="309">
        <v>7359404</v>
      </c>
      <c r="D27" s="313">
        <f>6987882+34410</f>
        <v>7022292</v>
      </c>
      <c r="E27" s="312">
        <f>7664912+60554.06</f>
        <v>7725466.0599999996</v>
      </c>
      <c r="F27" s="276" t="s">
        <v>55</v>
      </c>
      <c r="H27" s="278"/>
      <c r="I27" s="278"/>
    </row>
    <row r="28" spans="1:9" s="264" customFormat="1">
      <c r="A28" s="271" t="s">
        <v>86</v>
      </c>
      <c r="B28" s="308">
        <v>1082589</v>
      </c>
      <c r="C28" s="309">
        <v>1050017</v>
      </c>
      <c r="D28" s="308">
        <v>970481</v>
      </c>
      <c r="E28" s="310">
        <v>1022384</v>
      </c>
      <c r="F28" s="276" t="s">
        <v>56</v>
      </c>
      <c r="H28" s="277"/>
      <c r="I28" s="278"/>
    </row>
    <row r="29" spans="1:9" s="264" customFormat="1">
      <c r="A29" s="271" t="s">
        <v>87</v>
      </c>
      <c r="B29" s="308">
        <v>350787</v>
      </c>
      <c r="C29" s="309">
        <v>373643</v>
      </c>
      <c r="D29" s="308">
        <v>388317</v>
      </c>
      <c r="E29" s="310">
        <v>438033</v>
      </c>
      <c r="F29" s="276" t="s">
        <v>56</v>
      </c>
      <c r="H29" s="277"/>
      <c r="I29" s="278"/>
    </row>
    <row r="30" spans="1:9" s="264" customFormat="1">
      <c r="A30" s="271" t="s">
        <v>88</v>
      </c>
      <c r="B30" s="308">
        <v>2537776</v>
      </c>
      <c r="C30" s="309">
        <v>2582667</v>
      </c>
      <c r="D30" s="308">
        <v>2266478</v>
      </c>
      <c r="E30" s="310">
        <v>2359994</v>
      </c>
      <c r="F30" s="276" t="s">
        <v>56</v>
      </c>
      <c r="H30" s="277"/>
      <c r="I30" s="278"/>
    </row>
    <row r="31" spans="1:9" s="264" customFormat="1">
      <c r="A31" s="271" t="s">
        <v>89</v>
      </c>
      <c r="B31" s="308">
        <v>211357</v>
      </c>
      <c r="C31" s="309">
        <v>220116</v>
      </c>
      <c r="D31" s="308">
        <v>227896</v>
      </c>
      <c r="E31" s="310">
        <v>231250</v>
      </c>
      <c r="F31" s="276" t="s">
        <v>56</v>
      </c>
      <c r="H31" s="277"/>
      <c r="I31" s="278"/>
    </row>
    <row r="32" spans="1:9" s="264" customFormat="1">
      <c r="A32" s="271" t="s">
        <v>90</v>
      </c>
      <c r="B32" s="308">
        <v>604900</v>
      </c>
      <c r="C32" s="309">
        <v>710177</v>
      </c>
      <c r="D32" s="308">
        <v>740596</v>
      </c>
      <c r="E32" s="310">
        <v>705618.94</v>
      </c>
      <c r="F32" s="276" t="s">
        <v>57</v>
      </c>
      <c r="H32" s="277"/>
      <c r="I32" s="278"/>
    </row>
    <row r="33" spans="1:9" s="264" customFormat="1">
      <c r="A33" s="271" t="s">
        <v>91</v>
      </c>
      <c r="B33" s="308">
        <v>752668</v>
      </c>
      <c r="C33" s="309">
        <v>753636</v>
      </c>
      <c r="D33" s="308">
        <v>723645</v>
      </c>
      <c r="E33" s="310">
        <v>768657</v>
      </c>
      <c r="F33" s="276" t="s">
        <v>57</v>
      </c>
      <c r="H33" s="277"/>
      <c r="I33" s="278"/>
    </row>
    <row r="34" spans="1:9" s="264" customFormat="1">
      <c r="A34" s="271" t="s">
        <v>93</v>
      </c>
      <c r="B34" s="308">
        <v>175322</v>
      </c>
      <c r="C34" s="309">
        <v>185237</v>
      </c>
      <c r="D34" s="308">
        <v>226791</v>
      </c>
      <c r="E34" s="310">
        <v>331246</v>
      </c>
      <c r="F34" s="276" t="s">
        <v>57</v>
      </c>
      <c r="H34" s="277"/>
      <c r="I34" s="278"/>
    </row>
    <row r="35" spans="1:9" s="264" customFormat="1">
      <c r="A35" s="271" t="s">
        <v>94</v>
      </c>
      <c r="B35" s="308">
        <v>1280697</v>
      </c>
      <c r="C35" s="309">
        <v>1402170</v>
      </c>
      <c r="D35" s="308">
        <v>1393044</v>
      </c>
      <c r="E35" s="310">
        <v>1392527</v>
      </c>
      <c r="F35" s="276" t="s">
        <v>58</v>
      </c>
      <c r="H35" s="277"/>
      <c r="I35" s="278"/>
    </row>
    <row r="36" spans="1:9" s="264" customFormat="1">
      <c r="A36" s="271" t="s">
        <v>95</v>
      </c>
      <c r="B36" s="308">
        <v>410050</v>
      </c>
      <c r="C36" s="309">
        <v>414537</v>
      </c>
      <c r="D36" s="308">
        <v>418259</v>
      </c>
      <c r="E36" s="310">
        <v>413556</v>
      </c>
      <c r="F36" s="276" t="s">
        <v>58</v>
      </c>
      <c r="H36" s="277"/>
      <c r="I36" s="278"/>
    </row>
    <row r="37" spans="1:9" s="264" customFormat="1">
      <c r="A37" s="271" t="s">
        <v>96</v>
      </c>
      <c r="B37" s="308">
        <v>723952</v>
      </c>
      <c r="C37" s="309">
        <v>813639</v>
      </c>
      <c r="D37" s="308">
        <v>941674</v>
      </c>
      <c r="E37" s="310">
        <v>906466.02099999995</v>
      </c>
      <c r="F37" s="276" t="s">
        <v>58</v>
      </c>
      <c r="H37" s="277"/>
      <c r="I37" s="278"/>
    </row>
    <row r="38" spans="1:9" s="264" customFormat="1">
      <c r="A38" s="271" t="s">
        <v>97</v>
      </c>
      <c r="B38" s="308">
        <v>52022</v>
      </c>
      <c r="C38" s="309">
        <v>55690</v>
      </c>
      <c r="D38" s="308">
        <v>60529</v>
      </c>
      <c r="E38" s="310">
        <v>59926</v>
      </c>
      <c r="F38" s="276" t="s">
        <v>58</v>
      </c>
      <c r="H38" s="277"/>
      <c r="I38" s="278"/>
    </row>
    <row r="39" spans="1:9" s="264" customFormat="1">
      <c r="A39" s="271" t="s">
        <v>98</v>
      </c>
      <c r="B39" s="308">
        <v>354203</v>
      </c>
      <c r="C39" s="309">
        <v>310870</v>
      </c>
      <c r="D39" s="308">
        <v>313578</v>
      </c>
      <c r="E39" s="310">
        <v>310461</v>
      </c>
      <c r="F39" s="276" t="s">
        <v>58</v>
      </c>
      <c r="H39" s="277"/>
      <c r="I39" s="278"/>
    </row>
    <row r="40" spans="1:9" s="264" customFormat="1">
      <c r="A40" s="283" t="s">
        <v>99</v>
      </c>
      <c r="B40" s="315">
        <v>835707</v>
      </c>
      <c r="C40" s="316">
        <v>935668</v>
      </c>
      <c r="D40" s="315">
        <v>994681</v>
      </c>
      <c r="E40" s="317">
        <v>985112</v>
      </c>
      <c r="F40" s="288" t="s">
        <v>58</v>
      </c>
      <c r="H40" s="277"/>
      <c r="I40" s="278"/>
    </row>
    <row r="41" spans="1:9" ht="15" thickBot="1">
      <c r="A41" s="318" t="s">
        <v>191</v>
      </c>
      <c r="B41" s="290">
        <f>SUM(B3:B40)</f>
        <v>59549139.880000003</v>
      </c>
      <c r="C41" s="291">
        <f>SUM(C3:C40)</f>
        <v>61630638.5</v>
      </c>
      <c r="D41" s="290">
        <f>SUM(D3:D40)</f>
        <v>63207806</v>
      </c>
      <c r="E41" s="291">
        <f>SUM(E3:E40)</f>
        <v>66013685.590599991</v>
      </c>
      <c r="F41" s="325"/>
    </row>
    <row r="42" spans="1:9">
      <c r="B42" s="319"/>
      <c r="C42" s="294"/>
    </row>
  </sheetData>
  <conditionalFormatting sqref="H3:I40">
    <cfRule type="cellIs" dxfId="3" priority="1" operator="lessThan">
      <formula>0</formula>
    </cfRule>
  </conditionalFormatting>
  <pageMargins left="0.25" right="0.25" top="0.75" bottom="0.75" header="0.3" footer="0.3"/>
  <pageSetup scale="83"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041E4-7926-46CB-BE11-4BF6C74A255E}">
  <sheetPr>
    <pageSetUpPr fitToPage="1"/>
  </sheetPr>
  <dimension ref="A1:C41"/>
  <sheetViews>
    <sheetView zoomScaleNormal="100" workbookViewId="0"/>
  </sheetViews>
  <sheetFormatPr defaultColWidth="9.28515625" defaultRowHeight="14.25"/>
  <cols>
    <col min="1" max="1" width="46.7109375" style="296" bestFit="1" customWidth="1"/>
    <col min="2" max="2" width="17.42578125" style="296" customWidth="1"/>
    <col min="3" max="3" width="15.28515625" style="296" customWidth="1"/>
    <col min="4" max="16384" width="9.28515625" style="296"/>
  </cols>
  <sheetData>
    <row r="1" spans="1:3">
      <c r="B1" s="326" t="s">
        <v>189</v>
      </c>
    </row>
    <row r="2" spans="1:3">
      <c r="A2" s="327" t="s">
        <v>190</v>
      </c>
      <c r="B2" s="328" t="s">
        <v>192</v>
      </c>
    </row>
    <row r="3" spans="1:3" ht="15">
      <c r="A3" s="329" t="s">
        <v>60</v>
      </c>
      <c r="B3" s="330">
        <v>2553471</v>
      </c>
      <c r="C3" s="331" t="s">
        <v>49</v>
      </c>
    </row>
    <row r="4" spans="1:3" ht="15">
      <c r="A4" s="329" t="s">
        <v>61</v>
      </c>
      <c r="B4" s="332">
        <v>361548</v>
      </c>
      <c r="C4" s="331" t="s">
        <v>49</v>
      </c>
    </row>
    <row r="5" spans="1:3" ht="15">
      <c r="A5" s="329" t="s">
        <v>62</v>
      </c>
      <c r="B5" s="333">
        <v>2998198</v>
      </c>
      <c r="C5" s="331" t="s">
        <v>49</v>
      </c>
    </row>
    <row r="6" spans="1:3" ht="15">
      <c r="A6" s="329" t="s">
        <v>63</v>
      </c>
      <c r="B6" s="330">
        <v>2083701</v>
      </c>
      <c r="C6" s="331" t="s">
        <v>49</v>
      </c>
    </row>
    <row r="7" spans="1:3" ht="15">
      <c r="A7" s="329" t="s">
        <v>64</v>
      </c>
      <c r="B7" s="330">
        <v>447645</v>
      </c>
      <c r="C7" s="331" t="s">
        <v>49</v>
      </c>
    </row>
    <row r="8" spans="1:3" ht="15">
      <c r="A8" s="329" t="s">
        <v>65</v>
      </c>
      <c r="B8" s="330">
        <v>14466572</v>
      </c>
      <c r="C8" s="331" t="s">
        <v>50</v>
      </c>
    </row>
    <row r="9" spans="1:3" ht="15">
      <c r="A9" s="329" t="s">
        <v>66</v>
      </c>
      <c r="B9" s="330">
        <v>5072179</v>
      </c>
      <c r="C9" s="331" t="s">
        <v>51</v>
      </c>
    </row>
    <row r="10" spans="1:3" ht="15">
      <c r="A10" s="329" t="s">
        <v>67</v>
      </c>
      <c r="B10" s="330">
        <v>2126888</v>
      </c>
      <c r="C10" s="331" t="s">
        <v>104</v>
      </c>
    </row>
    <row r="11" spans="1:3" ht="15">
      <c r="A11" s="329" t="s">
        <v>68</v>
      </c>
      <c r="B11" s="330">
        <v>225862</v>
      </c>
      <c r="C11" s="331" t="s">
        <v>104</v>
      </c>
    </row>
    <row r="12" spans="1:3" ht="15">
      <c r="A12" s="329" t="s">
        <v>69</v>
      </c>
      <c r="B12" s="330">
        <v>129210017</v>
      </c>
      <c r="C12" s="331" t="s">
        <v>104</v>
      </c>
    </row>
    <row r="13" spans="1:3" ht="15">
      <c r="A13" s="329" t="s">
        <v>70</v>
      </c>
      <c r="B13" s="330">
        <v>1304126</v>
      </c>
      <c r="C13" s="331" t="s">
        <v>104</v>
      </c>
    </row>
    <row r="14" spans="1:3" ht="15">
      <c r="A14" s="329" t="s">
        <v>71</v>
      </c>
      <c r="B14" s="330">
        <v>69734</v>
      </c>
      <c r="C14" s="331" t="s">
        <v>104</v>
      </c>
    </row>
    <row r="15" spans="1:3" ht="15">
      <c r="A15" s="329" t="s">
        <v>72</v>
      </c>
      <c r="B15" s="330">
        <f>6690672+1079205</f>
        <v>7769877</v>
      </c>
      <c r="C15" s="331" t="s">
        <v>104</v>
      </c>
    </row>
    <row r="16" spans="1:3" ht="15">
      <c r="A16" s="329" t="s">
        <v>73</v>
      </c>
      <c r="B16" s="330">
        <v>4067447</v>
      </c>
      <c r="C16" s="331" t="s">
        <v>53</v>
      </c>
    </row>
    <row r="17" spans="1:3" ht="15">
      <c r="A17" s="329" t="s">
        <v>74</v>
      </c>
      <c r="B17" s="332">
        <v>698366</v>
      </c>
      <c r="C17" s="331" t="s">
        <v>53</v>
      </c>
    </row>
    <row r="18" spans="1:3" ht="15">
      <c r="A18" s="329" t="s">
        <v>75</v>
      </c>
      <c r="B18" s="330">
        <v>8378754</v>
      </c>
      <c r="C18" s="331" t="s">
        <v>53</v>
      </c>
    </row>
    <row r="19" spans="1:3" ht="15">
      <c r="A19" s="329" t="s">
        <v>76</v>
      </c>
      <c r="B19" s="332">
        <v>165710</v>
      </c>
      <c r="C19" s="331" t="s">
        <v>53</v>
      </c>
    </row>
    <row r="20" spans="1:3" ht="15">
      <c r="A20" s="329" t="s">
        <v>77</v>
      </c>
      <c r="B20" s="332">
        <v>25291520</v>
      </c>
      <c r="C20" s="331" t="s">
        <v>103</v>
      </c>
    </row>
    <row r="21" spans="1:3" ht="15">
      <c r="A21" s="329" t="s">
        <v>78</v>
      </c>
      <c r="B21" s="333">
        <v>28281032</v>
      </c>
      <c r="C21" s="331" t="s">
        <v>103</v>
      </c>
    </row>
    <row r="22" spans="1:3" ht="15">
      <c r="A22" s="329" t="s">
        <v>79</v>
      </c>
      <c r="B22" s="333">
        <v>35845053</v>
      </c>
      <c r="C22" s="331" t="s">
        <v>103</v>
      </c>
    </row>
    <row r="23" spans="1:3" ht="15">
      <c r="A23" s="329" t="s">
        <v>80</v>
      </c>
      <c r="B23" s="333">
        <v>5453602</v>
      </c>
      <c r="C23" s="331" t="s">
        <v>103</v>
      </c>
    </row>
    <row r="24" spans="1:3" ht="15">
      <c r="A24" s="329" t="s">
        <v>81</v>
      </c>
      <c r="B24" s="330">
        <v>110780790</v>
      </c>
      <c r="C24" s="331" t="s">
        <v>103</v>
      </c>
    </row>
    <row r="25" spans="1:3" ht="15">
      <c r="A25" s="329" t="s">
        <v>83</v>
      </c>
      <c r="B25" s="330">
        <v>43121644</v>
      </c>
      <c r="C25" s="331" t="s">
        <v>103</v>
      </c>
    </row>
    <row r="26" spans="1:3" ht="15">
      <c r="A26" s="329" t="s">
        <v>84</v>
      </c>
      <c r="B26" s="332">
        <v>3929042</v>
      </c>
      <c r="C26" s="331" t="s">
        <v>55</v>
      </c>
    </row>
    <row r="27" spans="1:3" ht="15">
      <c r="A27" s="329" t="s">
        <v>85</v>
      </c>
      <c r="B27" s="330">
        <v>74193463</v>
      </c>
      <c r="C27" s="331" t="s">
        <v>55</v>
      </c>
    </row>
    <row r="28" spans="1:3" ht="15">
      <c r="A28" s="329" t="s">
        <v>86</v>
      </c>
      <c r="B28" s="330">
        <v>12808994</v>
      </c>
      <c r="C28" s="331" t="s">
        <v>56</v>
      </c>
    </row>
    <row r="29" spans="1:3" ht="15">
      <c r="A29" s="329" t="s">
        <v>87</v>
      </c>
      <c r="B29" s="330">
        <v>2846110</v>
      </c>
      <c r="C29" s="331" t="s">
        <v>56</v>
      </c>
    </row>
    <row r="30" spans="1:3" ht="15">
      <c r="A30" s="329" t="s">
        <v>88</v>
      </c>
      <c r="B30" s="330">
        <f>12792202+1465494</f>
        <v>14257696</v>
      </c>
      <c r="C30" s="331" t="s">
        <v>56</v>
      </c>
    </row>
    <row r="31" spans="1:3" ht="15">
      <c r="A31" s="329" t="s">
        <v>89</v>
      </c>
      <c r="B31" s="332">
        <v>744369</v>
      </c>
      <c r="C31" s="331" t="s">
        <v>56</v>
      </c>
    </row>
    <row r="32" spans="1:3" ht="15">
      <c r="A32" s="329" t="s">
        <v>90</v>
      </c>
      <c r="B32" s="330">
        <f>1083752+1344717</f>
        <v>2428469</v>
      </c>
      <c r="C32" s="331" t="s">
        <v>57</v>
      </c>
    </row>
    <row r="33" spans="1:3" ht="15">
      <c r="A33" s="329" t="s">
        <v>91</v>
      </c>
      <c r="B33" s="330">
        <v>7144704</v>
      </c>
      <c r="C33" s="331" t="s">
        <v>57</v>
      </c>
    </row>
    <row r="34" spans="1:3" ht="15">
      <c r="A34" s="329" t="s">
        <v>93</v>
      </c>
      <c r="B34" s="330">
        <v>2376491</v>
      </c>
      <c r="C34" s="331" t="s">
        <v>57</v>
      </c>
    </row>
    <row r="35" spans="1:3" ht="15">
      <c r="A35" s="329" t="s">
        <v>94</v>
      </c>
      <c r="B35" s="330">
        <v>5173162</v>
      </c>
      <c r="C35" s="331" t="s">
        <v>58</v>
      </c>
    </row>
    <row r="36" spans="1:3" ht="15">
      <c r="A36" s="329" t="s">
        <v>95</v>
      </c>
      <c r="B36" s="332">
        <v>604843</v>
      </c>
      <c r="C36" s="331" t="s">
        <v>58</v>
      </c>
    </row>
    <row r="37" spans="1:3" ht="15">
      <c r="A37" s="329" t="s">
        <v>96</v>
      </c>
      <c r="B37" s="330">
        <v>4844103</v>
      </c>
      <c r="C37" s="331" t="s">
        <v>58</v>
      </c>
    </row>
    <row r="38" spans="1:3" ht="15">
      <c r="A38" s="329" t="s">
        <v>97</v>
      </c>
      <c r="B38" s="330">
        <v>457239</v>
      </c>
      <c r="C38" s="331" t="s">
        <v>58</v>
      </c>
    </row>
    <row r="39" spans="1:3" ht="15">
      <c r="A39" s="329" t="s">
        <v>98</v>
      </c>
      <c r="B39" s="332">
        <v>1214573</v>
      </c>
      <c r="C39" s="331" t="s">
        <v>58</v>
      </c>
    </row>
    <row r="40" spans="1:3" ht="15">
      <c r="A40" s="329" t="s">
        <v>99</v>
      </c>
      <c r="B40" s="330">
        <v>4861903</v>
      </c>
      <c r="C40" s="331" t="s">
        <v>58</v>
      </c>
    </row>
    <row r="41" spans="1:3">
      <c r="A41" s="334" t="s">
        <v>191</v>
      </c>
      <c r="B41" s="335">
        <f>SUM(B3:B40)</f>
        <v>568658897</v>
      </c>
      <c r="C41" s="336"/>
    </row>
  </sheetData>
  <pageMargins left="0.25" right="0.25" top="0.75" bottom="0.75" header="0.3" footer="0.3"/>
  <pageSetup scale="30"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CDD9E-92E9-4B02-A3BF-866E6C900624}">
  <sheetPr>
    <pageSetUpPr fitToPage="1"/>
  </sheetPr>
  <dimension ref="A1:L42"/>
  <sheetViews>
    <sheetView zoomScaleNormal="100" workbookViewId="0"/>
  </sheetViews>
  <sheetFormatPr defaultColWidth="9.28515625" defaultRowHeight="14.25"/>
  <cols>
    <col min="1" max="1" width="46.7109375" style="296" bestFit="1" customWidth="1"/>
    <col min="2" max="4" width="16.7109375" style="320" customWidth="1"/>
    <col min="5" max="5" width="16.7109375" style="296" customWidth="1"/>
    <col min="6" max="6" width="16.28515625" style="296" customWidth="1"/>
    <col min="7" max="16384" width="9.28515625" style="296"/>
  </cols>
  <sheetData>
    <row r="1" spans="1:6">
      <c r="B1" s="265" t="s">
        <v>186</v>
      </c>
      <c r="C1" s="265" t="s">
        <v>187</v>
      </c>
      <c r="D1" s="265" t="s">
        <v>188</v>
      </c>
      <c r="E1" s="265" t="s">
        <v>189</v>
      </c>
    </row>
    <row r="2" spans="1:6" ht="30" customHeight="1">
      <c r="A2" s="337" t="s">
        <v>190</v>
      </c>
      <c r="B2" s="338" t="s">
        <v>193</v>
      </c>
      <c r="C2" s="338" t="s">
        <v>193</v>
      </c>
      <c r="D2" s="338" t="s">
        <v>193</v>
      </c>
      <c r="E2" s="338" t="s">
        <v>193</v>
      </c>
    </row>
    <row r="3" spans="1:6" ht="15">
      <c r="A3" s="327" t="s">
        <v>60</v>
      </c>
      <c r="B3" s="339">
        <v>1885201</v>
      </c>
      <c r="C3" s="340">
        <v>2305461</v>
      </c>
      <c r="D3" s="341">
        <v>2499963</v>
      </c>
      <c r="E3" s="342">
        <v>2553471</v>
      </c>
      <c r="F3" s="331" t="s">
        <v>49</v>
      </c>
    </row>
    <row r="4" spans="1:6" ht="15">
      <c r="A4" s="327" t="s">
        <v>61</v>
      </c>
      <c r="B4" s="339">
        <v>420143</v>
      </c>
      <c r="C4" s="340">
        <v>453078</v>
      </c>
      <c r="D4" s="341">
        <v>398814</v>
      </c>
      <c r="E4" s="343">
        <v>361548</v>
      </c>
      <c r="F4" s="331" t="s">
        <v>49</v>
      </c>
    </row>
    <row r="5" spans="1:6" ht="15">
      <c r="A5" s="327" t="s">
        <v>62</v>
      </c>
      <c r="B5" s="339">
        <v>2417284</v>
      </c>
      <c r="C5" s="340">
        <v>2625058</v>
      </c>
      <c r="D5" s="341">
        <v>2701881</v>
      </c>
      <c r="E5" s="344">
        <v>2998198</v>
      </c>
      <c r="F5" s="331" t="s">
        <v>49</v>
      </c>
    </row>
    <row r="6" spans="1:6" ht="15">
      <c r="A6" s="327" t="s">
        <v>63</v>
      </c>
      <c r="B6" s="339">
        <v>1490840</v>
      </c>
      <c r="C6" s="340">
        <v>2166873</v>
      </c>
      <c r="D6" s="341">
        <v>2152208</v>
      </c>
      <c r="E6" s="342">
        <v>2155919</v>
      </c>
      <c r="F6" s="331" t="s">
        <v>49</v>
      </c>
    </row>
    <row r="7" spans="1:6" ht="15">
      <c r="A7" s="327" t="s">
        <v>64</v>
      </c>
      <c r="B7" s="339">
        <v>362879</v>
      </c>
      <c r="C7" s="340">
        <v>476060</v>
      </c>
      <c r="D7" s="341">
        <v>456069</v>
      </c>
      <c r="E7" s="342">
        <v>447645</v>
      </c>
      <c r="F7" s="331" t="s">
        <v>49</v>
      </c>
    </row>
    <row r="8" spans="1:6" ht="15">
      <c r="A8" s="327" t="s">
        <v>65</v>
      </c>
      <c r="B8" s="339">
        <f>9097088+3778695</f>
        <v>12875783</v>
      </c>
      <c r="C8" s="340">
        <f>9197369+3756448</f>
        <v>12953817</v>
      </c>
      <c r="D8" s="341">
        <f>10488989+4264004</f>
        <v>14752993</v>
      </c>
      <c r="E8" s="342">
        <v>14481448</v>
      </c>
      <c r="F8" s="331" t="s">
        <v>50</v>
      </c>
    </row>
    <row r="9" spans="1:6" ht="15">
      <c r="A9" s="327" t="s">
        <v>66</v>
      </c>
      <c r="B9" s="339">
        <v>3992271</v>
      </c>
      <c r="C9" s="340">
        <v>4537045</v>
      </c>
      <c r="D9" s="341">
        <v>4568165</v>
      </c>
      <c r="E9" s="342">
        <v>5267046</v>
      </c>
      <c r="F9" s="331" t="s">
        <v>51</v>
      </c>
    </row>
    <row r="10" spans="1:6" ht="15">
      <c r="A10" s="327" t="s">
        <v>67</v>
      </c>
      <c r="B10" s="339">
        <v>1445143</v>
      </c>
      <c r="C10" s="340">
        <v>1726724</v>
      </c>
      <c r="D10" s="341">
        <v>1970225</v>
      </c>
      <c r="E10" s="342">
        <v>2126888</v>
      </c>
      <c r="F10" s="331" t="s">
        <v>104</v>
      </c>
    </row>
    <row r="11" spans="1:6" ht="15">
      <c r="A11" s="327" t="s">
        <v>68</v>
      </c>
      <c r="B11" s="339">
        <v>150877</v>
      </c>
      <c r="C11" s="340">
        <v>167538</v>
      </c>
      <c r="D11" s="341">
        <v>195234</v>
      </c>
      <c r="E11" s="342">
        <v>225862</v>
      </c>
      <c r="F11" s="331" t="s">
        <v>104</v>
      </c>
    </row>
    <row r="12" spans="1:6" ht="15">
      <c r="A12" s="327" t="s">
        <v>69</v>
      </c>
      <c r="B12" s="339">
        <v>104883123</v>
      </c>
      <c r="C12" s="345">
        <v>99766003</v>
      </c>
      <c r="D12" s="341">
        <v>120169392</v>
      </c>
      <c r="E12" s="342">
        <v>129442718</v>
      </c>
      <c r="F12" s="331" t="s">
        <v>104</v>
      </c>
    </row>
    <row r="13" spans="1:6" ht="15">
      <c r="A13" s="327" t="s">
        <v>70</v>
      </c>
      <c r="B13" s="339">
        <v>993897</v>
      </c>
      <c r="C13" s="340">
        <v>1200984</v>
      </c>
      <c r="D13" s="341">
        <v>1246809</v>
      </c>
      <c r="E13" s="342">
        <v>1347743</v>
      </c>
      <c r="F13" s="331" t="s">
        <v>104</v>
      </c>
    </row>
    <row r="14" spans="1:6" ht="15">
      <c r="A14" s="327" t="s">
        <v>71</v>
      </c>
      <c r="B14" s="339">
        <v>78491</v>
      </c>
      <c r="C14" s="340">
        <v>67079</v>
      </c>
      <c r="D14" s="341">
        <v>50424</v>
      </c>
      <c r="E14" s="342">
        <v>71294</v>
      </c>
      <c r="F14" s="331" t="s">
        <v>104</v>
      </c>
    </row>
    <row r="15" spans="1:6" ht="15">
      <c r="A15" s="327" t="s">
        <v>72</v>
      </c>
      <c r="B15" s="339">
        <v>7106671</v>
      </c>
      <c r="C15" s="345">
        <v>7464284</v>
      </c>
      <c r="D15" s="341">
        <v>7910674</v>
      </c>
      <c r="E15" s="342">
        <f>6690672+1079205</f>
        <v>7769877</v>
      </c>
      <c r="F15" s="331" t="s">
        <v>104</v>
      </c>
    </row>
    <row r="16" spans="1:6" ht="15">
      <c r="A16" s="327" t="s">
        <v>73</v>
      </c>
      <c r="B16" s="339">
        <v>2798006</v>
      </c>
      <c r="C16" s="340">
        <v>3169013</v>
      </c>
      <c r="D16" s="341">
        <v>3679008</v>
      </c>
      <c r="E16" s="342">
        <v>4067447</v>
      </c>
      <c r="F16" s="331" t="s">
        <v>53</v>
      </c>
    </row>
    <row r="17" spans="1:6" ht="15">
      <c r="A17" s="327" t="s">
        <v>74</v>
      </c>
      <c r="B17" s="339">
        <v>618607</v>
      </c>
      <c r="C17" s="340">
        <v>605988</v>
      </c>
      <c r="D17" s="341">
        <v>703038</v>
      </c>
      <c r="E17" s="343">
        <v>698366</v>
      </c>
      <c r="F17" s="331" t="s">
        <v>53</v>
      </c>
    </row>
    <row r="18" spans="1:6" ht="15">
      <c r="A18" s="327" t="s">
        <v>75</v>
      </c>
      <c r="B18" s="339">
        <v>6699359</v>
      </c>
      <c r="C18" s="340">
        <v>7696112</v>
      </c>
      <c r="D18" s="341">
        <v>8675119</v>
      </c>
      <c r="E18" s="342">
        <v>9003000</v>
      </c>
      <c r="F18" s="331" t="s">
        <v>53</v>
      </c>
    </row>
    <row r="19" spans="1:6" ht="15">
      <c r="A19" s="327" t="s">
        <v>76</v>
      </c>
      <c r="B19" s="339">
        <v>115693</v>
      </c>
      <c r="C19" s="340">
        <v>107836</v>
      </c>
      <c r="D19" s="341">
        <v>177251</v>
      </c>
      <c r="E19" s="343">
        <v>165710</v>
      </c>
      <c r="F19" s="331" t="s">
        <v>53</v>
      </c>
    </row>
    <row r="20" spans="1:6" ht="15">
      <c r="A20" s="327" t="s">
        <v>77</v>
      </c>
      <c r="B20" s="339">
        <v>17358937</v>
      </c>
      <c r="C20" s="340">
        <v>15647246</v>
      </c>
      <c r="D20" s="341">
        <v>18874570</v>
      </c>
      <c r="E20" s="343">
        <v>25291520</v>
      </c>
      <c r="F20" s="331" t="s">
        <v>103</v>
      </c>
    </row>
    <row r="21" spans="1:6" ht="15">
      <c r="A21" s="327" t="s">
        <v>78</v>
      </c>
      <c r="B21" s="339">
        <v>20953458</v>
      </c>
      <c r="C21" s="340">
        <v>26239078</v>
      </c>
      <c r="D21" s="341">
        <v>23750125</v>
      </c>
      <c r="E21" s="344">
        <v>28281032</v>
      </c>
      <c r="F21" s="331" t="s">
        <v>103</v>
      </c>
    </row>
    <row r="22" spans="1:6" ht="15">
      <c r="A22" s="327" t="s">
        <v>79</v>
      </c>
      <c r="B22" s="339">
        <v>24099554</v>
      </c>
      <c r="C22" s="340">
        <v>27269531</v>
      </c>
      <c r="D22" s="341">
        <v>32028446</v>
      </c>
      <c r="E22" s="344">
        <v>36047232</v>
      </c>
      <c r="F22" s="331" t="s">
        <v>103</v>
      </c>
    </row>
    <row r="23" spans="1:6" ht="15">
      <c r="A23" s="327" t="s">
        <v>80</v>
      </c>
      <c r="B23" s="339">
        <v>4566109</v>
      </c>
      <c r="C23" s="340">
        <v>5346157</v>
      </c>
      <c r="D23" s="341">
        <v>5328325</v>
      </c>
      <c r="E23" s="344">
        <v>5453602</v>
      </c>
      <c r="F23" s="331" t="s">
        <v>103</v>
      </c>
    </row>
    <row r="24" spans="1:6" ht="15">
      <c r="A24" s="327" t="s">
        <v>81</v>
      </c>
      <c r="B24" s="339">
        <v>96368493</v>
      </c>
      <c r="C24" s="340">
        <v>103826125</v>
      </c>
      <c r="D24" s="341">
        <v>108453691</v>
      </c>
      <c r="E24" s="342">
        <v>111168383</v>
      </c>
      <c r="F24" s="331" t="s">
        <v>103</v>
      </c>
    </row>
    <row r="25" spans="1:6" ht="15">
      <c r="A25" s="327" t="s">
        <v>83</v>
      </c>
      <c r="B25" s="339">
        <v>36961071</v>
      </c>
      <c r="C25" s="340">
        <v>39737337</v>
      </c>
      <c r="D25" s="341">
        <v>45655907</v>
      </c>
      <c r="E25" s="342">
        <v>49463221</v>
      </c>
      <c r="F25" s="331" t="s">
        <v>103</v>
      </c>
    </row>
    <row r="26" spans="1:6" ht="15">
      <c r="A26" s="327" t="s">
        <v>84</v>
      </c>
      <c r="B26" s="339">
        <v>4655649</v>
      </c>
      <c r="C26" s="340">
        <v>4080556</v>
      </c>
      <c r="D26" s="341">
        <v>4736557</v>
      </c>
      <c r="E26" s="343">
        <v>3929042</v>
      </c>
      <c r="F26" s="331" t="s">
        <v>55</v>
      </c>
    </row>
    <row r="27" spans="1:6" ht="15">
      <c r="A27" s="327" t="s">
        <v>85</v>
      </c>
      <c r="B27" s="339">
        <v>64863638</v>
      </c>
      <c r="C27" s="340">
        <v>58367488</v>
      </c>
      <c r="D27" s="341">
        <v>68802962</v>
      </c>
      <c r="E27" s="342">
        <v>76532753</v>
      </c>
      <c r="F27" s="331" t="s">
        <v>55</v>
      </c>
    </row>
    <row r="28" spans="1:6" ht="15">
      <c r="A28" s="327" t="s">
        <v>86</v>
      </c>
      <c r="B28" s="339">
        <v>9918427</v>
      </c>
      <c r="C28" s="340">
        <v>10001495</v>
      </c>
      <c r="D28" s="341">
        <v>12020724</v>
      </c>
      <c r="E28" s="342">
        <v>12808994</v>
      </c>
      <c r="F28" s="331" t="s">
        <v>56</v>
      </c>
    </row>
    <row r="29" spans="1:6" ht="15">
      <c r="A29" s="327" t="s">
        <v>87</v>
      </c>
      <c r="B29" s="339">
        <v>1675170</v>
      </c>
      <c r="C29" s="340">
        <v>1758084</v>
      </c>
      <c r="D29" s="341">
        <v>2609867</v>
      </c>
      <c r="E29" s="342">
        <v>2846110</v>
      </c>
      <c r="F29" s="331" t="s">
        <v>56</v>
      </c>
    </row>
    <row r="30" spans="1:6" ht="15">
      <c r="A30" s="327" t="s">
        <v>88</v>
      </c>
      <c r="B30" s="339">
        <v>10417569</v>
      </c>
      <c r="C30" s="340">
        <v>10624308</v>
      </c>
      <c r="D30" s="346">
        <v>12745096</v>
      </c>
      <c r="E30" s="342">
        <f>12857237+1465494</f>
        <v>14322731</v>
      </c>
      <c r="F30" s="331" t="s">
        <v>56</v>
      </c>
    </row>
    <row r="31" spans="1:6" ht="15">
      <c r="A31" s="327" t="s">
        <v>89</v>
      </c>
      <c r="B31" s="339">
        <v>798818</v>
      </c>
      <c r="C31" s="340">
        <v>788081</v>
      </c>
      <c r="D31" s="341">
        <v>736481</v>
      </c>
      <c r="E31" s="343">
        <v>744369</v>
      </c>
      <c r="F31" s="331" t="s">
        <v>56</v>
      </c>
    </row>
    <row r="32" spans="1:6" ht="15">
      <c r="A32" s="327" t="s">
        <v>90</v>
      </c>
      <c r="B32" s="339">
        <v>2288742</v>
      </c>
      <c r="C32" s="340">
        <v>2522688</v>
      </c>
      <c r="D32" s="341">
        <v>3047407</v>
      </c>
      <c r="E32" s="342">
        <f>2020842+1345880</f>
        <v>3366722</v>
      </c>
      <c r="F32" s="331" t="s">
        <v>57</v>
      </c>
    </row>
    <row r="33" spans="1:12" ht="15">
      <c r="A33" s="327" t="s">
        <v>91</v>
      </c>
      <c r="B33" s="339">
        <v>5921804</v>
      </c>
      <c r="C33" s="340">
        <v>5960670</v>
      </c>
      <c r="D33" s="341">
        <v>6578658</v>
      </c>
      <c r="E33" s="342">
        <v>7435602</v>
      </c>
      <c r="F33" s="331" t="s">
        <v>57</v>
      </c>
    </row>
    <row r="34" spans="1:12" ht="15">
      <c r="A34" s="327" t="s">
        <v>93</v>
      </c>
      <c r="B34" s="339">
        <v>1269764</v>
      </c>
      <c r="C34" s="340">
        <v>1423713</v>
      </c>
      <c r="D34" s="341">
        <v>1923269</v>
      </c>
      <c r="E34" s="342">
        <v>2380653</v>
      </c>
      <c r="F34" s="331" t="s">
        <v>57</v>
      </c>
    </row>
    <row r="35" spans="1:12" ht="15">
      <c r="A35" s="327" t="s">
        <v>94</v>
      </c>
      <c r="B35" s="339">
        <v>3904286</v>
      </c>
      <c r="C35" s="340">
        <v>4637640</v>
      </c>
      <c r="D35" s="341">
        <v>5000804</v>
      </c>
      <c r="E35" s="342">
        <v>5803873</v>
      </c>
      <c r="F35" s="331" t="s">
        <v>58</v>
      </c>
    </row>
    <row r="36" spans="1:12" ht="15">
      <c r="A36" s="327" t="s">
        <v>95</v>
      </c>
      <c r="B36" s="339">
        <v>578833</v>
      </c>
      <c r="C36" s="340">
        <v>573381</v>
      </c>
      <c r="D36" s="341">
        <v>716454</v>
      </c>
      <c r="E36" s="343">
        <v>604843</v>
      </c>
      <c r="F36" s="331" t="s">
        <v>58</v>
      </c>
    </row>
    <row r="37" spans="1:12" ht="15">
      <c r="A37" s="327" t="s">
        <v>96</v>
      </c>
      <c r="B37" s="339">
        <f>8461164-3778695</f>
        <v>4682469</v>
      </c>
      <c r="C37" s="340">
        <f>7674872-3756448</f>
        <v>3918424</v>
      </c>
      <c r="D37" s="341">
        <f>8616129-4264004</f>
        <v>4352125</v>
      </c>
      <c r="E37" s="342">
        <v>5022923</v>
      </c>
      <c r="F37" s="331" t="s">
        <v>58</v>
      </c>
      <c r="G37" t="s">
        <v>194</v>
      </c>
      <c r="H37"/>
      <c r="I37"/>
      <c r="J37"/>
      <c r="K37"/>
      <c r="L37"/>
    </row>
    <row r="38" spans="1:12" ht="15">
      <c r="A38" s="327" t="s">
        <v>97</v>
      </c>
      <c r="B38" s="339">
        <v>146394</v>
      </c>
      <c r="C38" s="340">
        <v>162010</v>
      </c>
      <c r="D38" s="341">
        <v>170603</v>
      </c>
      <c r="E38" s="342">
        <v>457239</v>
      </c>
      <c r="F38" s="331" t="s">
        <v>58</v>
      </c>
    </row>
    <row r="39" spans="1:12" ht="15">
      <c r="A39" s="327" t="s">
        <v>98</v>
      </c>
      <c r="B39" s="339">
        <v>1217295</v>
      </c>
      <c r="C39" s="340">
        <v>1442390</v>
      </c>
      <c r="D39" s="341">
        <v>1347958</v>
      </c>
      <c r="E39" s="343">
        <v>1220651</v>
      </c>
      <c r="F39" s="331" t="s">
        <v>58</v>
      </c>
    </row>
    <row r="40" spans="1:12" ht="15">
      <c r="A40" s="337" t="s">
        <v>99</v>
      </c>
      <c r="B40" s="339">
        <v>3325310</v>
      </c>
      <c r="C40" s="340">
        <v>4022350</v>
      </c>
      <c r="D40" s="341">
        <v>4658904</v>
      </c>
      <c r="E40" s="342">
        <v>4896193</v>
      </c>
      <c r="F40" s="331" t="s">
        <v>58</v>
      </c>
    </row>
    <row r="41" spans="1:12">
      <c r="A41" s="327" t="s">
        <v>191</v>
      </c>
      <c r="B41" s="347">
        <f>SUM(B3:B40)</f>
        <v>464306058</v>
      </c>
      <c r="C41" s="347">
        <f>SUM(C3:C40)</f>
        <v>475837705</v>
      </c>
      <c r="D41" s="348">
        <f>SUM(D3:D40)</f>
        <v>535846200</v>
      </c>
      <c r="E41" s="349">
        <f>SUM(E3:E40)</f>
        <v>581261868</v>
      </c>
    </row>
    <row r="42" spans="1:12">
      <c r="B42" s="319"/>
      <c r="C42" s="319"/>
    </row>
  </sheetData>
  <pageMargins left="0.25" right="0.25" top="0.75" bottom="0.75" header="0.3" footer="0.3"/>
  <pageSetup scale="78"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58F64028E5BD499EC8204CB79B4088" ma:contentTypeVersion="3" ma:contentTypeDescription="Create a new document." ma:contentTypeScope="" ma:versionID="ce0006d08b26f1c3f0584f964faca600">
  <xsd:schema xmlns:xsd="http://www.w3.org/2001/XMLSchema" xmlns:xs="http://www.w3.org/2001/XMLSchema" xmlns:p="http://schemas.microsoft.com/office/2006/metadata/properties" xmlns:ns2="a5c324cd-8edd-4443-96c0-49a336b05a99" targetNamespace="http://schemas.microsoft.com/office/2006/metadata/properties" ma:root="true" ma:fieldsID="75967243169641aa46b4e9f19fdcbe71" ns2:_="">
    <xsd:import namespace="a5c324cd-8edd-4443-96c0-49a336b05a9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324cd-8edd-4443-96c0-49a336b05a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B8C41F-5827-4612-8C98-A1D9A572E2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324cd-8edd-4443-96c0-49a336b05a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C6B6F8-D29E-409E-8782-EA1AE3159F2C}">
  <ds:schemaRefs>
    <ds:schemaRef ds:uri="http://schemas.microsoft.com/office/infopath/2007/PartnerControls"/>
    <ds:schemaRef ds:uri="http://purl.org/dc/dcmitype/"/>
    <ds:schemaRef ds:uri="http://purl.org/dc/elements/1.1/"/>
    <ds:schemaRef ds:uri="http://schemas.microsoft.com/office/2006/documentManagement/types"/>
    <ds:schemaRef ds:uri="http://www.w3.org/XML/1998/namespace"/>
    <ds:schemaRef ds:uri="http://schemas.microsoft.com/office/2006/metadata/properties"/>
    <ds:schemaRef ds:uri="http://purl.org/dc/terms/"/>
    <ds:schemaRef ds:uri="a5c324cd-8edd-4443-96c0-49a336b05a99"/>
    <ds:schemaRef ds:uri="http://schemas.openxmlformats.org/package/2006/metadata/core-properties"/>
  </ds:schemaRefs>
</ds:datastoreItem>
</file>

<file path=customXml/itemProps3.xml><?xml version="1.0" encoding="utf-8"?>
<ds:datastoreItem xmlns:ds="http://schemas.openxmlformats.org/officeDocument/2006/customXml" ds:itemID="{2C54CE66-FF98-4D5D-A385-9B4C4954864E}">
  <ds:schemaRefs>
    <ds:schemaRef ds:uri="http://schemas.microsoft.com/sharepoint/v3/contenttype/forms"/>
  </ds:schemaRefs>
</ds:datastoreItem>
</file>

<file path=docMetadata/LabelInfo.xml><?xml version="1.0" encoding="utf-8"?>
<clbl:labelList xmlns:clbl="http://schemas.microsoft.com/office/2020/mipLabelMetadata">
  <clbl:label id="{3667e201-cbdc-48b3-9b42-5d2d3f16e2a9}" enabled="0" method="" siteId="{3667e201-cbdc-48b3-9b42-5d2d3f16e2a9}" removed="1"/>
  <clbl:label id="{620ae5a9-4ec1-4fa0-8641-5d9f386c7309}" enabled="0" method="" siteId="{620ae5a9-4ec1-4fa0-8641-5d9f386c730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S6C-Avg</vt:lpstr>
      <vt:lpstr>S6C_FY2024</vt:lpstr>
      <vt:lpstr>S6C_FY2025</vt:lpstr>
      <vt:lpstr>S6C-FY2026</vt:lpstr>
      <vt:lpstr>Ridership-FY2026</vt:lpstr>
      <vt:lpstr>Revenue Hours_FY2026</vt:lpstr>
      <vt:lpstr>Revenue Miles_FY2026</vt:lpstr>
      <vt:lpstr>Sizing - Reim Expen_FY2026</vt:lpstr>
      <vt:lpstr>Op Cost_FY2026</vt:lpstr>
      <vt:lpstr>Ridership_FY2025</vt:lpstr>
      <vt:lpstr>Revenue Hours_FY2025</vt:lpstr>
      <vt:lpstr>Revenue Miles_FY2025</vt:lpstr>
      <vt:lpstr>Sizing - Reim Expen_FY2025</vt:lpstr>
      <vt:lpstr>Op Cost_FY2025</vt:lpstr>
      <vt:lpstr>Ridership_FY2024</vt:lpstr>
      <vt:lpstr>Revenue Hours_FY2024</vt:lpstr>
      <vt:lpstr>Revenue Miles_FY2024</vt:lpstr>
      <vt:lpstr>Sizing - Reim Exp_FY2024</vt:lpstr>
      <vt:lpstr>Op Cost_FY2024</vt:lpstr>
    </vt:vector>
  </TitlesOfParts>
  <Company>HDR,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Sethi, Sonika</dc:creator>
  <cp:lastModifiedBy>Macek, Nathan</cp:lastModifiedBy>
  <dcterms:created xsi:type="dcterms:W3CDTF">2025-08-26T13:14:27Z</dcterms:created>
  <dcterms:modified xsi:type="dcterms:W3CDTF">2025-08-26T19:06:30Z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0x010100F058F64028E5BD499EC8204CB79B4088</vt:lpwstr>
  </property>
</Properties>
</file>